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860" windowWidth="20655" windowHeight="1260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<sst xmlns="http://schemas.openxmlformats.org/spreadsheetml/2006/main" count="430" uniqueCount="361">
  <si>
    <t>説明</t>
  </si>
  <si>
    <t>3,</t>
  </si>
  <si>
    <t>原動機出力軸の回転速度</t>
  </si>
  <si>
    <t>n1</t>
  </si>
  <si>
    <t>4,</t>
  </si>
  <si>
    <t>原動機の定格トルク</t>
  </si>
  <si>
    <t>Tn</t>
  </si>
  <si>
    <t>5,</t>
  </si>
  <si>
    <t>6,</t>
  </si>
  <si>
    <t>rpm</t>
  </si>
  <si>
    <t>7,</t>
  </si>
  <si>
    <t>8,</t>
  </si>
  <si>
    <t>9,</t>
  </si>
  <si>
    <t>10,</t>
  </si>
  <si>
    <t>11,</t>
  </si>
  <si>
    <t>12,</t>
  </si>
  <si>
    <t>㎏f</t>
  </si>
  <si>
    <t>13,</t>
  </si>
  <si>
    <t>負荷よりチェｰン張力の計算〔手順2〕</t>
  </si>
  <si>
    <t>14,</t>
  </si>
  <si>
    <t>15,</t>
  </si>
  <si>
    <t>16,</t>
  </si>
  <si>
    <t>m/min</t>
  </si>
  <si>
    <t>17,</t>
  </si>
  <si>
    <t>表より速度係数Kv</t>
  </si>
  <si>
    <t>18,</t>
  </si>
  <si>
    <t>d</t>
  </si>
  <si>
    <t>mm</t>
  </si>
  <si>
    <t>19,</t>
  </si>
  <si>
    <t>R</t>
  </si>
  <si>
    <t>20,</t>
  </si>
  <si>
    <t>K</t>
  </si>
  <si>
    <t>21,</t>
  </si>
  <si>
    <t>22,</t>
  </si>
  <si>
    <t>Kc</t>
  </si>
  <si>
    <t>23,</t>
  </si>
  <si>
    <t>Ks</t>
  </si>
  <si>
    <t>モｰタの加減速時間よリチェｰン張力の算出〔手順4〕</t>
  </si>
  <si>
    <t>24,</t>
  </si>
  <si>
    <t>検討２、</t>
  </si>
  <si>
    <t>25,</t>
  </si>
  <si>
    <t>チェｰン速度</t>
  </si>
  <si>
    <t>V</t>
  </si>
  <si>
    <t>26,</t>
  </si>
  <si>
    <t>27,</t>
  </si>
  <si>
    <t>28,</t>
  </si>
  <si>
    <t>C</t>
  </si>
  <si>
    <t>29,</t>
  </si>
  <si>
    <t>機長</t>
  </si>
  <si>
    <t>m</t>
  </si>
  <si>
    <t>30,</t>
  </si>
  <si>
    <t>ドラム外径</t>
  </si>
  <si>
    <t>D</t>
  </si>
  <si>
    <t>31,</t>
  </si>
  <si>
    <t xml:space="preserve">ts = </t>
  </si>
  <si>
    <t>32,</t>
  </si>
  <si>
    <t>33,</t>
  </si>
  <si>
    <t>台車駆動のチェｰン張力</t>
  </si>
  <si>
    <t>FC</t>
  </si>
  <si>
    <t>34,</t>
  </si>
  <si>
    <t>台車駆動の補正チェｰン張力</t>
  </si>
  <si>
    <t>35,</t>
  </si>
  <si>
    <t>36,</t>
  </si>
  <si>
    <t>tb =</t>
  </si>
  <si>
    <t>37,</t>
  </si>
  <si>
    <t>原動機定格出力(kW)によるチェｰン張力</t>
  </si>
  <si>
    <t>Fm</t>
  </si>
  <si>
    <t>38,</t>
  </si>
  <si>
    <t>原動機側からの補正チェｰン張力</t>
  </si>
  <si>
    <t>39,</t>
  </si>
  <si>
    <t>原動機の始動トルクによるチェｰン張力</t>
  </si>
  <si>
    <t>Fms</t>
  </si>
  <si>
    <t>40,</t>
  </si>
  <si>
    <t>原動機の始動トルクによる補正チェｰン張力</t>
  </si>
  <si>
    <t>41,</t>
  </si>
  <si>
    <t>原動機の停動トルクによるチェｰン張力</t>
  </si>
  <si>
    <t>42,</t>
  </si>
  <si>
    <t>原動機の停動トルクによる補正チェｰン張力</t>
  </si>
  <si>
    <t>43,</t>
  </si>
  <si>
    <t>原動機の加速時のチェｰン張力(始動時)</t>
  </si>
  <si>
    <t>44,</t>
  </si>
  <si>
    <t>原動機の加速時の補正チェｰン張力(始動時)</t>
  </si>
  <si>
    <t>45,</t>
  </si>
  <si>
    <t>46,</t>
  </si>
  <si>
    <t>負荷(実荷重)からの補正チェｰン張力</t>
  </si>
  <si>
    <t>47,</t>
  </si>
  <si>
    <t>非常停止時のチェｰン張力</t>
  </si>
  <si>
    <t>の値が一番大きい｡</t>
  </si>
  <si>
    <t>48,</t>
  </si>
  <si>
    <t>非常停止時補正チェｰン張力</t>
  </si>
  <si>
    <t>最大許容張力</t>
  </si>
  <si>
    <t>49,</t>
  </si>
  <si>
    <t>50,</t>
  </si>
  <si>
    <t>G</t>
  </si>
  <si>
    <t>m/s2</t>
  </si>
  <si>
    <t>51,</t>
  </si>
  <si>
    <t>52,</t>
  </si>
  <si>
    <t>チェｰン長さ(リンク数)</t>
  </si>
  <si>
    <t>L</t>
  </si>
  <si>
    <t>53,</t>
  </si>
  <si>
    <t>54,</t>
  </si>
  <si>
    <t>μ</t>
  </si>
  <si>
    <t>55,</t>
  </si>
  <si>
    <t>n</t>
  </si>
  <si>
    <t>56,</t>
  </si>
  <si>
    <t>負荷軸の回転速度(従動軸の回転速度)</t>
  </si>
  <si>
    <t>n2</t>
  </si>
  <si>
    <t>57,</t>
  </si>
  <si>
    <t>大スプロケットの歯数</t>
  </si>
  <si>
    <t>N</t>
  </si>
  <si>
    <t>58,</t>
  </si>
  <si>
    <t>小スプロケットの歯数</t>
  </si>
  <si>
    <t>59,</t>
  </si>
  <si>
    <t>チェｰンピッチ</t>
  </si>
  <si>
    <t>P</t>
  </si>
  <si>
    <t>60,</t>
  </si>
  <si>
    <t>RSアタッチメント付チェｰンのアタッチメント高さ(ドラム取付面からチェｰンピッチ中心までの距離)</t>
  </si>
  <si>
    <t>S</t>
  </si>
  <si>
    <t>61,</t>
  </si>
  <si>
    <t>原動機の減速時間(停動時)</t>
  </si>
  <si>
    <t>s</t>
  </si>
  <si>
    <t>62,</t>
  </si>
  <si>
    <t>原動機の加速時間(始動時)</t>
  </si>
  <si>
    <t>63,</t>
  </si>
  <si>
    <t>64,</t>
  </si>
  <si>
    <t>非常停止時チェーン張力の最小引張り強さに対する安全率</t>
  </si>
  <si>
    <t xml:space="preserve"> －</t>
  </si>
  <si>
    <t>吊り上げチェーン選定計算シート</t>
  </si>
  <si>
    <t>LIFT, 1.5KW, RS60-2</t>
  </si>
  <si>
    <t>計算式に使用する記号と単位</t>
  </si>
  <si>
    <t>　　本色部のみ入力</t>
  </si>
  <si>
    <t>　作成日</t>
  </si>
  <si>
    <t>2004.07.17</t>
  </si>
  <si>
    <t>　作成者</t>
  </si>
  <si>
    <t>Kawaguchi</t>
  </si>
  <si>
    <t>印刷日</t>
  </si>
  <si>
    <t>番号</t>
  </si>
  <si>
    <t>値</t>
  </si>
  <si>
    <t>重力単位</t>
  </si>
  <si>
    <t>使用型式</t>
  </si>
  <si>
    <t>定格出力</t>
  </si>
  <si>
    <t>減速比</t>
  </si>
  <si>
    <t>メーカー</t>
  </si>
  <si>
    <t>1,</t>
  </si>
  <si>
    <t>原動機型式　　　</t>
  </si>
  <si>
    <t>CNHM2-E115-AV-B-59</t>
  </si>
  <si>
    <t xml:space="preserve"> －</t>
  </si>
  <si>
    <t>住友</t>
  </si>
  <si>
    <t>最大許容張力</t>
  </si>
  <si>
    <t>rpm</t>
  </si>
  <si>
    <t>kgf</t>
  </si>
  <si>
    <t>㎏f･m</t>
  </si>
  <si>
    <t>原動機の始動トルク（インバータ使用時は定格トルクの150%が限度だが能力限度入力）</t>
  </si>
  <si>
    <t>Ts</t>
  </si>
  <si>
    <t>㎏f･m</t>
  </si>
  <si>
    <t>モｰタ特性の確認(モーター単体）〔手順1〕</t>
  </si>
  <si>
    <t>原動機の停動(最大）トルク（インバータ使用時は定格トルクの150%が限度だが能力限度入力）</t>
  </si>
  <si>
    <t>Tb</t>
  </si>
  <si>
    <t>㎏f･m</t>
  </si>
  <si>
    <t>定格回転数</t>
  </si>
  <si>
    <t>n1=</t>
  </si>
  <si>
    <t>原動機のブレーキトルク</t>
  </si>
  <si>
    <t>Tbr</t>
  </si>
  <si>
    <t>㎏f･m</t>
  </si>
  <si>
    <t>定格トルク</t>
  </si>
  <si>
    <t>Tn=</t>
  </si>
  <si>
    <t>kgf･m</t>
  </si>
  <si>
    <r>
      <t>原動機の出力軸GD</t>
    </r>
    <r>
      <rPr>
        <vertAlign val="superscript"/>
        <sz val="11"/>
        <rFont val="ＭＳ Ｐゴシック"/>
        <family val="3"/>
      </rPr>
      <t>2</t>
    </r>
  </si>
  <si>
    <r>
      <t>GD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m</t>
    </r>
  </si>
  <si>
    <r>
      <t>㎏f･m</t>
    </r>
    <r>
      <rPr>
        <vertAlign val="superscript"/>
        <sz val="11"/>
        <rFont val="ＭＳ Ｐゴシック"/>
        <family val="3"/>
      </rPr>
      <t>2</t>
    </r>
  </si>
  <si>
    <t>始動トルク</t>
  </si>
  <si>
    <t>Ts=</t>
  </si>
  <si>
    <t>速比(例)1/30であればi=30とする</t>
  </si>
  <si>
    <t>インバータ設定加速時間 (不使用時は0入力)</t>
  </si>
  <si>
    <t xml:space="preserve"> －</t>
  </si>
  <si>
    <t>S</t>
  </si>
  <si>
    <t>ブレーキトルク</t>
  </si>
  <si>
    <t>Tbr=</t>
  </si>
  <si>
    <t>kgf･m</t>
  </si>
  <si>
    <t>インバータ設定減速時間 (不使用時は0入力)</t>
  </si>
  <si>
    <t xml:space="preserve"> －</t>
  </si>
  <si>
    <t>S</t>
  </si>
  <si>
    <t xml:space="preserve">GD2 </t>
  </si>
  <si>
    <t>GD2m=</t>
  </si>
  <si>
    <t>kgf･㎡</t>
  </si>
  <si>
    <t>負荷の重量</t>
  </si>
  <si>
    <t>W</t>
  </si>
  <si>
    <t>検討１、</t>
  </si>
  <si>
    <t>チェーン型式　　</t>
  </si>
  <si>
    <t xml:space="preserve"> RS60-2</t>
  </si>
  <si>
    <t xml:space="preserve"> －</t>
  </si>
  <si>
    <t>椿本</t>
  </si>
  <si>
    <t xml:space="preserve"> －</t>
  </si>
  <si>
    <t>チェーン最大許容張力（1本の数値）</t>
  </si>
  <si>
    <t xml:space="preserve"> －</t>
  </si>
  <si>
    <t>チェーン最少引張り強さ（1本の数値）</t>
  </si>
  <si>
    <t>Es</t>
  </si>
  <si>
    <t>kgf</t>
  </si>
  <si>
    <t>チェｰン張力Fw</t>
  </si>
  <si>
    <t>Fw = W =</t>
  </si>
  <si>
    <t>モーター側スプロケットの歯数（不使用時は１を入力）</t>
  </si>
  <si>
    <t>DSd</t>
  </si>
  <si>
    <t>T</t>
  </si>
  <si>
    <t>吊下げ用チェーン速度　V = n1/ i /(OSd/DSd) x d xπ/1000</t>
  </si>
  <si>
    <t>従動側スプロケットの歯数（不使用時は１を入力）</t>
  </si>
  <si>
    <t>OSd</t>
  </si>
  <si>
    <t>T</t>
  </si>
  <si>
    <t xml:space="preserve"> －</t>
  </si>
  <si>
    <t>吊下げ用スプロケットのピッチ円直径</t>
  </si>
  <si>
    <t>吊下げ用スプロケット歯数</t>
  </si>
  <si>
    <t>表より歯数係数Kc</t>
  </si>
  <si>
    <t>慣性比　モータGD2不明時は図2参照にて決定</t>
  </si>
  <si>
    <t xml:space="preserve"> －</t>
  </si>
  <si>
    <t>多少の衝撃がかかる</t>
  </si>
  <si>
    <t>表より使用係数Ks</t>
  </si>
  <si>
    <t>衝撃係数　( R&lt;0.2時はK=0.2とする）上記、慣性比より図2参照にて決定</t>
  </si>
  <si>
    <t xml:space="preserve"> －</t>
  </si>
  <si>
    <t>2本吊りのため</t>
  </si>
  <si>
    <t>　　アンバランス荷重係数Ku</t>
  </si>
  <si>
    <t>歯数係数　上記、歯数により図1参照にて決定</t>
  </si>
  <si>
    <t xml:space="preserve"> －</t>
  </si>
  <si>
    <t>検討３、</t>
  </si>
  <si>
    <t>補正チェｰン張力Fw</t>
  </si>
  <si>
    <t>　　　　　F'w=×Fw×Ks×Kv×Kc x Ku</t>
  </si>
  <si>
    <t>kgf･･①</t>
  </si>
  <si>
    <t>使用係数　表2参照にて決定</t>
  </si>
  <si>
    <t>アンバランス荷重係数（　2本吊り＝0.6 　4本吊り＝0.35 )　表3参照にて決定</t>
  </si>
  <si>
    <t>Ku</t>
  </si>
  <si>
    <t>作用トルク    Tm=(Ts+Tb)/2</t>
  </si>
  <si>
    <t>kgf･m</t>
  </si>
  <si>
    <t>負荷トルク</t>
  </si>
  <si>
    <t>速度係数　（ V &gt;10m時はKv=1.02とする）上記チェーン速度より図1参照にて決定</t>
  </si>
  <si>
    <t>Kv</t>
  </si>
  <si>
    <t xml:space="preserve">        Tℓ=W x d/(2 x 1000 x i x(OSd/DSd))</t>
  </si>
  <si>
    <t>温度係数　表7参照にて決定</t>
  </si>
  <si>
    <t>Kf</t>
  </si>
  <si>
    <t>モｰタ軸換算負荷側のGD2</t>
  </si>
  <si>
    <t>GD2ℓ = W x (V/πx n１)^2</t>
  </si>
  <si>
    <t>kgf･㎡</t>
  </si>
  <si>
    <t>軸間距離をリンク数で表わしたもの</t>
  </si>
  <si>
    <t>モｰタの加速可能時間</t>
  </si>
  <si>
    <t>( - 付は下降時)</t>
  </si>
  <si>
    <t xml:space="preserve">モｰタのGD2   </t>
  </si>
  <si>
    <t>GD2m=</t>
  </si>
  <si>
    <t>C'</t>
  </si>
  <si>
    <t>ts = (GD2m+ GD2ℓ) x n1/375 x (Tm-Tℓ)</t>
  </si>
  <si>
    <t>S （上昇時は＋）</t>
  </si>
  <si>
    <t>慣性比 R</t>
  </si>
  <si>
    <t>R = GD2ℓ/GD2m</t>
  </si>
  <si>
    <t xml:space="preserve"> －</t>
  </si>
  <si>
    <t>　　　　　　インバータ設定実時間</t>
  </si>
  <si>
    <t>S</t>
  </si>
  <si>
    <t>原動機の加減速時のチェｰン張力(停動時)</t>
  </si>
  <si>
    <t>　　　　　　　　　　  検討加速時間</t>
  </si>
  <si>
    <t>伝動装置のあそびがないとして</t>
  </si>
  <si>
    <t>図2より衝撃係数 K</t>
  </si>
  <si>
    <t>原動機の加減速時の補正チェｰン張力(停動時)</t>
  </si>
  <si>
    <t>モｰタの減速可能時間</t>
  </si>
  <si>
    <t>始動トルクによるチェｰン張力</t>
  </si>
  <si>
    <t>F'C</t>
  </si>
  <si>
    <t xml:space="preserve"> －</t>
  </si>
  <si>
    <t>㎏f</t>
  </si>
  <si>
    <t>tb =(GD2m+ GD2ℓ) x n1/375 x (Tm + Tℓ)</t>
  </si>
  <si>
    <t>S</t>
  </si>
  <si>
    <t>始動トルク  Ts</t>
  </si>
  <si>
    <t>kgf･m</t>
  </si>
  <si>
    <t>負荷(実荷重)側トルクによるチェｰン張力</t>
  </si>
  <si>
    <t>　　　　　　　　　　　Fms=Ts x i x (OSd/DSd) x 1000 (d/2)</t>
  </si>
  <si>
    <t>(kgf)</t>
  </si>
  <si>
    <t>負荷(実荷重)側トルクによる補正チェｰン張力</t>
  </si>
  <si>
    <t>　　　　　　　　　　  検討減速時間</t>
  </si>
  <si>
    <t>停動トルクによるチェｰン張力</t>
  </si>
  <si>
    <t>停動トルク  Tb</t>
  </si>
  <si>
    <t>tb と ts の加減速時時間の短い方がチェｰンに掛かる負担が大きい為</t>
  </si>
  <si>
    <t>　　　　　　　　　Fmb=Tb x i x (OSd/MSd) x1000x1.2/ (d/2)</t>
  </si>
  <si>
    <t>kgf</t>
  </si>
  <si>
    <t>㎏f</t>
  </si>
  <si>
    <t>チェｰン張力Fbの検討には､短い時間を採用する｡</t>
  </si>
  <si>
    <t>F'ms</t>
  </si>
  <si>
    <t xml:space="preserve"> －</t>
  </si>
  <si>
    <t>㎏f</t>
  </si>
  <si>
    <t>t =</t>
  </si>
  <si>
    <t>S</t>
  </si>
  <si>
    <t>Fmb〉Fmsより､このうち大きい値Fmbを採用する｡</t>
  </si>
  <si>
    <t>Fmb</t>
  </si>
  <si>
    <t>加減速時のチェｰン張力</t>
  </si>
  <si>
    <t>負荷(実荷重)によるチェｰン張力</t>
  </si>
  <si>
    <t>検討結果</t>
  </si>
  <si>
    <t>Fe</t>
  </si>
  <si>
    <t>計算結果 ①②③を比較すると</t>
  </si>
  <si>
    <t>F’e</t>
  </si>
  <si>
    <t>最大チェｰン張力　　　　　F’b =</t>
  </si>
  <si>
    <t>の値 は選定チェーン</t>
  </si>
  <si>
    <t>kgfより</t>
  </si>
  <si>
    <t>ロｰラとレｰルの摩擦係数(潤滑あり0.14  潤滑なし0.21)</t>
  </si>
  <si>
    <r>
      <t>f</t>
    </r>
    <r>
      <rPr>
        <vertAlign val="subscript"/>
        <sz val="11"/>
        <rFont val="ＭＳ Ｐゴシック"/>
        <family val="3"/>
      </rPr>
      <t>1</t>
    </r>
  </si>
  <si>
    <t>標準重力加速度</t>
  </si>
  <si>
    <t>＊最大許容張力とは疲れ限度を下限とした値。（SUS、エンプラ製除く）この値以下なら1,000,000回以内での疲れ破壊は起こりません。（JIS B1801-1997参考規定）</t>
  </si>
  <si>
    <r>
      <t>負荷の原動機出力軸換算GD</t>
    </r>
    <r>
      <rPr>
        <vertAlign val="superscript"/>
        <sz val="11"/>
        <rFont val="ＭＳ Ｐゴシック"/>
        <family val="3"/>
      </rPr>
      <t>2</t>
    </r>
  </si>
  <si>
    <r>
      <t>GD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ℓ</t>
    </r>
  </si>
  <si>
    <r>
      <t>㎏f･m</t>
    </r>
    <r>
      <rPr>
        <vertAlign val="superscript"/>
        <sz val="11"/>
        <rFont val="ＭＳ Ｐゴシック"/>
        <family val="3"/>
      </rPr>
      <t>2</t>
    </r>
  </si>
  <si>
    <t>非常停止検討</t>
  </si>
  <si>
    <t xml:space="preserve"> －</t>
  </si>
  <si>
    <t>ブレーキトルク                              Tbr  =</t>
  </si>
  <si>
    <t>kgf･m</t>
  </si>
  <si>
    <t>チェｰンの単位質量{重量}</t>
  </si>
  <si>
    <t>㎏f/m</t>
  </si>
  <si>
    <t>非常停止時間</t>
  </si>
  <si>
    <t>非常停止時補正チェｰン張力</t>
  </si>
  <si>
    <t>レｰルと車輸の摩擦係数0.1(台車駆動)､支持ロｰラと回転体の摩擦係数O.3(ピンギヤ)</t>
  </si>
  <si>
    <t xml:space="preserve">       te = (GD2m+ GD2ℓ) x n1/375 x Tbr  =</t>
  </si>
  <si>
    <t>S</t>
  </si>
  <si>
    <t>F’e= Fe x Kv x Kc x Ku</t>
  </si>
  <si>
    <t>kgf･･･④</t>
  </si>
  <si>
    <t>チェｰン速度を求めるときの駆動スプロケットの回転速度</t>
  </si>
  <si>
    <t>rpm</t>
  </si>
  <si>
    <t>非常停止時のチェｰン張力</t>
  </si>
  <si>
    <t>非常停止時チェーン張力の最小引張り強さに対する安全率</t>
  </si>
  <si>
    <t xml:space="preserve"> －</t>
  </si>
  <si>
    <t xml:space="preserve">        Fe = W x V/(te x 60 x G ) + Fw</t>
  </si>
  <si>
    <t>kgf</t>
  </si>
  <si>
    <t>Sf = Es / F’e</t>
  </si>
  <si>
    <t>････⑤</t>
  </si>
  <si>
    <t>N'</t>
  </si>
  <si>
    <t>　　　　　　＊最小引張り強さとは任意の複数チェーンを引張り試験した際の最小値（メーカーで異なる）</t>
  </si>
  <si>
    <t>非常停止時チェーン張力    F’e=</t>
  </si>
  <si>
    <t>tb</t>
  </si>
  <si>
    <t>ts</t>
  </si>
  <si>
    <t>非常停止時チェーン張力の安全率については,</t>
  </si>
  <si>
    <t>非常停止時間　（実際にブレーキが掛かり始めてから停止までの時間）</t>
  </si>
  <si>
    <t>te</t>
  </si>
  <si>
    <t>Sf</t>
  </si>
  <si>
    <t>記号</t>
  </si>
  <si>
    <t xml:space="preserve"> －</t>
  </si>
  <si>
    <t>2,</t>
  </si>
  <si>
    <t>原動機の定格出力</t>
  </si>
  <si>
    <t>Kw</t>
  </si>
  <si>
    <t>i</t>
  </si>
  <si>
    <t>停動トルク</t>
  </si>
  <si>
    <t>Tb=</t>
  </si>
  <si>
    <t>kgf･m</t>
  </si>
  <si>
    <t>T</t>
  </si>
  <si>
    <t>モｰタよりチェｰン張力の計算〔手順3〕</t>
  </si>
  <si>
    <t>Fb</t>
  </si>
  <si>
    <t>㎏f</t>
  </si>
  <si>
    <t>F'b</t>
  </si>
  <si>
    <t>Fℓ</t>
  </si>
  <si>
    <t>F'ℓ</t>
  </si>
  <si>
    <t>F'm</t>
  </si>
  <si>
    <t>F'mb</t>
  </si>
  <si>
    <t xml:space="preserve">        Fb = W x V/(tx 60 x G ) + Fw</t>
  </si>
  <si>
    <t>kgf</t>
  </si>
  <si>
    <t>補正チェｰン張力</t>
  </si>
  <si>
    <t>F'mb=Fmb x K x Kv x Kc x Ku</t>
  </si>
  <si>
    <t>kgf･･②</t>
  </si>
  <si>
    <t>Fs</t>
  </si>
  <si>
    <t>F's</t>
  </si>
  <si>
    <t>F’b = Fb x Kv x Kc x Ku</t>
  </si>
  <si>
    <t>kgf･･･③</t>
  </si>
  <si>
    <t>Fw</t>
  </si>
  <si>
    <t>F'w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</si>
</sst>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  <numFmt numFmtId="181" formatCode="0_ "/>
    <numFmt numFmtId="182" formatCode="0.0000_ "/>
    <numFmt numFmtId="183" formatCode="0_);[Red]\(0\)"/>
    <numFmt numFmtId="184" formatCode="0.000_ "/>
    <numFmt numFmtId="185" formatCode="0.000000_ "/>
    <numFmt numFmtId="186" formatCode="0.000000000000000_ "/>
  </numFmts>
  <fonts count="1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vertAlign val="subscript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2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 horizontal="center" shrinkToFit="1"/>
      <protection/>
    </xf>
    <xf numFmtId="0" fontId="0" fillId="3" borderId="0" xfId="0" applyFill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left"/>
      <protection/>
    </xf>
    <xf numFmtId="0" fontId="8" fillId="0" borderId="1" xfId="0" applyFont="1" applyBorder="1" applyAlignment="1">
      <alignment horizontal="left"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 applyProtection="1">
      <alignment horizontal="center"/>
      <protection/>
    </xf>
    <xf numFmtId="180" fontId="0" fillId="0" borderId="0" xfId="0" applyNumberFormat="1" applyFill="1" applyBorder="1" applyAlignment="1" applyProtection="1">
      <alignment vertical="center"/>
      <protection/>
    </xf>
    <xf numFmtId="184" fontId="0" fillId="4" borderId="9" xfId="0" applyNumberFormat="1" applyFill="1" applyBorder="1" applyAlignment="1" applyProtection="1">
      <alignment horizontal="center"/>
      <protection/>
    </xf>
    <xf numFmtId="181" fontId="0" fillId="5" borderId="0" xfId="0" applyNumberFormat="1" applyFill="1" applyBorder="1" applyAlignment="1" applyProtection="1">
      <alignment vertical="center"/>
      <protection/>
    </xf>
    <xf numFmtId="0" fontId="0" fillId="5" borderId="12" xfId="0" applyFill="1" applyBorder="1" applyAlignment="1" applyProtection="1">
      <alignment horizontal="center"/>
      <protection/>
    </xf>
    <xf numFmtId="179" fontId="0" fillId="0" borderId="0" xfId="0" applyNumberForma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/>
      <protection/>
    </xf>
    <xf numFmtId="180" fontId="0" fillId="4" borderId="9" xfId="0" applyNumberFormat="1" applyFill="1" applyBorder="1" applyAlignment="1" applyProtection="1">
      <alignment horizontal="center"/>
      <protection/>
    </xf>
    <xf numFmtId="179" fontId="0" fillId="0" borderId="9" xfId="0" applyNumberFormat="1" applyBorder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right"/>
      <protection/>
    </xf>
    <xf numFmtId="0" fontId="0" fillId="0" borderId="9" xfId="0" applyFill="1" applyBorder="1" applyAlignment="1" applyProtection="1">
      <alignment horizontal="center"/>
      <protection/>
    </xf>
    <xf numFmtId="183" fontId="0" fillId="0" borderId="9" xfId="0" applyNumberFormat="1" applyFill="1" applyBorder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vertical="center"/>
      <protection/>
    </xf>
    <xf numFmtId="181" fontId="0" fillId="0" borderId="0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/>
    </xf>
    <xf numFmtId="180" fontId="0" fillId="0" borderId="0" xfId="0" applyNumberFormat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horizontal="left"/>
      <protection/>
    </xf>
    <xf numFmtId="0" fontId="0" fillId="5" borderId="3" xfId="0" applyFill="1" applyBorder="1" applyAlignment="1" applyProtection="1">
      <alignment horizontal="left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right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/>
      <protection/>
    </xf>
    <xf numFmtId="183" fontId="0" fillId="0" borderId="19" xfId="0" applyNumberForma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center"/>
      <protection/>
    </xf>
    <xf numFmtId="182" fontId="0" fillId="0" borderId="9" xfId="0" applyNumberFormat="1" applyFill="1" applyBorder="1" applyAlignment="1" applyProtection="1">
      <alignment horizontal="center"/>
      <protection/>
    </xf>
    <xf numFmtId="181" fontId="0" fillId="5" borderId="0" xfId="0" applyNumberFormat="1" applyFill="1" applyAlignment="1" applyProtection="1">
      <alignment vertical="center"/>
      <protection/>
    </xf>
    <xf numFmtId="180" fontId="0" fillId="0" borderId="9" xfId="0" applyNumberFormat="1" applyFill="1" applyBorder="1" applyAlignment="1" applyProtection="1">
      <alignment horizontal="center"/>
      <protection/>
    </xf>
    <xf numFmtId="181" fontId="0" fillId="0" borderId="0" xfId="0" applyNumberFormat="1" applyAlignment="1" applyProtection="1">
      <alignment vertical="center"/>
      <protection/>
    </xf>
    <xf numFmtId="180" fontId="0" fillId="5" borderId="0" xfId="0" applyNumberFormat="1" applyFill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/>
    </xf>
    <xf numFmtId="179" fontId="0" fillId="0" borderId="9" xfId="0" applyNumberFormat="1" applyFill="1" applyBorder="1" applyAlignment="1" applyProtection="1">
      <alignment horizontal="center"/>
      <protection/>
    </xf>
    <xf numFmtId="9" fontId="0" fillId="0" borderId="0" xfId="0" applyNumberForma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center"/>
      <protection/>
    </xf>
    <xf numFmtId="180" fontId="0" fillId="0" borderId="22" xfId="0" applyNumberForma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179" fontId="0" fillId="0" borderId="0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75" zoomScaleNormal="75" workbookViewId="0" topLeftCell="A25">
      <selection activeCell="J9" sqref="J9"/>
    </sheetView>
  </sheetViews>
  <sheetFormatPr defaultColWidth="9.00390625" defaultRowHeight="13.5"/>
  <cols>
    <col min="1" max="1" width="4.25390625" style="0" customWidth="1"/>
    <col min="2" max="2" width="37.50390625" style="0" customWidth="1"/>
    <col min="3" max="3" width="44.625" style="100" customWidth="1"/>
    <col min="4" max="4" width="2.125" style="0" customWidth="1"/>
    <col min="5" max="5" width="5.50390625" style="0" customWidth="1"/>
    <col min="6" max="6" width="8.125" style="101" customWidth="1"/>
    <col min="7" max="7" width="8.50390625" style="101" customWidth="1"/>
    <col min="8" max="8" width="3.375" style="0" customWidth="1"/>
    <col min="9" max="9" width="28.50390625" style="0" customWidth="1"/>
    <col min="10" max="10" width="9.875" style="0" customWidth="1"/>
    <col min="12" max="12" width="19.625" style="0" customWidth="1"/>
    <col min="13" max="13" width="14.875" style="0" customWidth="1"/>
    <col min="14" max="14" width="13.125" style="0" customWidth="1"/>
    <col min="18" max="18" width="7.50390625" style="0" customWidth="1"/>
  </cols>
  <sheetData>
    <row r="1" spans="1:19" ht="18.75">
      <c r="A1" s="1" t="s">
        <v>127</v>
      </c>
      <c r="B1" s="1"/>
      <c r="C1" s="2" t="s">
        <v>128</v>
      </c>
      <c r="D1" s="3"/>
      <c r="E1" s="4"/>
      <c r="F1" s="5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thickBot="1">
      <c r="A2" s="1"/>
      <c r="B2" s="6" t="s">
        <v>129</v>
      </c>
      <c r="C2" s="7"/>
      <c r="D2" s="8"/>
      <c r="E2" s="9" t="s">
        <v>130</v>
      </c>
      <c r="F2" s="10"/>
      <c r="G2" s="11"/>
      <c r="H2" s="12"/>
      <c r="I2" s="13"/>
      <c r="J2" s="14"/>
      <c r="K2" s="14" t="s">
        <v>131</v>
      </c>
      <c r="L2" s="15" t="s">
        <v>132</v>
      </c>
      <c r="M2" s="14"/>
      <c r="N2" s="14" t="s">
        <v>133</v>
      </c>
      <c r="O2" s="15" t="s">
        <v>134</v>
      </c>
      <c r="P2" s="16"/>
      <c r="Q2" s="17" t="s">
        <v>135</v>
      </c>
      <c r="R2" s="18">
        <f ca="1">TODAY()</f>
        <v>40959</v>
      </c>
      <c r="S2" s="19"/>
    </row>
    <row r="3" spans="1:19" ht="13.5">
      <c r="A3" s="20" t="s">
        <v>136</v>
      </c>
      <c r="B3" s="21"/>
      <c r="C3" s="22" t="s">
        <v>0</v>
      </c>
      <c r="D3" s="23"/>
      <c r="E3" s="24" t="s">
        <v>332</v>
      </c>
      <c r="F3" s="25" t="s">
        <v>137</v>
      </c>
      <c r="G3" s="26" t="s">
        <v>138</v>
      </c>
      <c r="H3" s="27"/>
      <c r="I3" s="23"/>
      <c r="J3" s="23"/>
      <c r="K3" s="23"/>
      <c r="L3" s="23"/>
      <c r="M3" s="27" t="s">
        <v>139</v>
      </c>
      <c r="N3" s="23"/>
      <c r="O3" s="23"/>
      <c r="P3" s="23"/>
      <c r="Q3" s="23" t="s">
        <v>140</v>
      </c>
      <c r="R3" s="23" t="s">
        <v>141</v>
      </c>
      <c r="S3" s="28" t="s">
        <v>142</v>
      </c>
    </row>
    <row r="4" spans="1:19" ht="13.5">
      <c r="A4" s="29" t="s">
        <v>143</v>
      </c>
      <c r="B4" s="30" t="s">
        <v>144</v>
      </c>
      <c r="C4" s="31" t="s">
        <v>145</v>
      </c>
      <c r="D4" s="32"/>
      <c r="E4" s="33" t="s">
        <v>146</v>
      </c>
      <c r="F4" s="34" t="s">
        <v>147</v>
      </c>
      <c r="G4" s="35" t="s">
        <v>333</v>
      </c>
      <c r="H4" s="12"/>
      <c r="I4" s="14"/>
      <c r="J4" s="14"/>
      <c r="K4" s="14"/>
      <c r="L4" s="14"/>
      <c r="M4" s="36" t="str">
        <f>B4</f>
        <v>原動機型式　　　</v>
      </c>
      <c r="N4" s="37" t="str">
        <f>C4</f>
        <v>CNHM2-E115-AV-B-59</v>
      </c>
      <c r="O4" s="38"/>
      <c r="P4" s="38"/>
      <c r="Q4" s="38">
        <f>F5</f>
        <v>1.5</v>
      </c>
      <c r="R4" s="38">
        <f>F12</f>
        <v>59</v>
      </c>
      <c r="S4" s="39" t="str">
        <f>F4</f>
        <v>住友</v>
      </c>
    </row>
    <row r="5" spans="1:19" ht="13.5">
      <c r="A5" s="29" t="s">
        <v>334</v>
      </c>
      <c r="B5" s="32"/>
      <c r="C5" s="40" t="s">
        <v>335</v>
      </c>
      <c r="D5" s="32"/>
      <c r="E5" s="33" t="s">
        <v>333</v>
      </c>
      <c r="F5" s="34">
        <v>1.5</v>
      </c>
      <c r="G5" s="35" t="s">
        <v>336</v>
      </c>
      <c r="H5" s="12"/>
      <c r="I5" s="14"/>
      <c r="J5" s="14"/>
      <c r="K5" s="14"/>
      <c r="L5" s="14"/>
      <c r="M5" s="41"/>
      <c r="N5" s="42"/>
      <c r="O5" s="42"/>
      <c r="P5" s="42"/>
      <c r="Q5" s="42" t="s">
        <v>148</v>
      </c>
      <c r="R5" s="42"/>
      <c r="S5" s="39"/>
    </row>
    <row r="6" spans="1:19" ht="13.5">
      <c r="A6" s="29" t="s">
        <v>1</v>
      </c>
      <c r="B6" s="40"/>
      <c r="C6" s="40" t="s">
        <v>2</v>
      </c>
      <c r="D6" s="40"/>
      <c r="E6" s="33" t="s">
        <v>3</v>
      </c>
      <c r="F6" s="34">
        <v>1750</v>
      </c>
      <c r="G6" s="35" t="s">
        <v>149</v>
      </c>
      <c r="H6" s="12"/>
      <c r="I6" s="14"/>
      <c r="J6" s="14"/>
      <c r="K6" s="14"/>
      <c r="L6" s="14"/>
      <c r="M6" s="36" t="str">
        <f>B16</f>
        <v>チェーン型式　　</v>
      </c>
      <c r="N6" s="37" t="str">
        <f>C16</f>
        <v> RS60-2</v>
      </c>
      <c r="O6" s="38"/>
      <c r="P6" s="38"/>
      <c r="Q6" s="38">
        <f>F17</f>
        <v>1530</v>
      </c>
      <c r="R6" s="38" t="s">
        <v>150</v>
      </c>
      <c r="S6" s="39" t="str">
        <f>F16</f>
        <v>椿本</v>
      </c>
    </row>
    <row r="7" spans="1:19" ht="13.5">
      <c r="A7" s="29" t="s">
        <v>4</v>
      </c>
      <c r="B7" s="43"/>
      <c r="C7" s="40" t="s">
        <v>5</v>
      </c>
      <c r="D7" s="40"/>
      <c r="E7" s="33" t="s">
        <v>6</v>
      </c>
      <c r="F7" s="34">
        <v>0.8</v>
      </c>
      <c r="G7" s="35" t="s">
        <v>151</v>
      </c>
      <c r="H7" s="12"/>
      <c r="I7" s="14"/>
      <c r="J7" s="14"/>
      <c r="K7" s="14"/>
      <c r="L7" s="14"/>
      <c r="M7" s="41"/>
      <c r="N7" s="42"/>
      <c r="O7" s="42"/>
      <c r="P7" s="42"/>
      <c r="Q7" s="42"/>
      <c r="R7" s="42"/>
      <c r="S7" s="44"/>
    </row>
    <row r="8" spans="1:19" ht="13.5">
      <c r="A8" s="29" t="s">
        <v>7</v>
      </c>
      <c r="B8" s="43"/>
      <c r="C8" s="40" t="s">
        <v>152</v>
      </c>
      <c r="D8" s="40"/>
      <c r="E8" s="33" t="s">
        <v>153</v>
      </c>
      <c r="F8" s="34">
        <v>1.2</v>
      </c>
      <c r="G8" s="35" t="s">
        <v>154</v>
      </c>
      <c r="H8" s="12"/>
      <c r="I8" s="14"/>
      <c r="J8" s="14"/>
      <c r="K8" s="14"/>
      <c r="L8" s="14"/>
      <c r="M8" s="41" t="s">
        <v>155</v>
      </c>
      <c r="N8" s="42"/>
      <c r="O8" s="42"/>
      <c r="P8" s="42"/>
      <c r="Q8" s="42"/>
      <c r="R8" s="42"/>
      <c r="S8" s="39"/>
    </row>
    <row r="9" spans="1:19" ht="13.5">
      <c r="A9" s="29" t="s">
        <v>8</v>
      </c>
      <c r="B9" s="43"/>
      <c r="C9" s="40" t="s">
        <v>156</v>
      </c>
      <c r="D9" s="40"/>
      <c r="E9" s="33" t="s">
        <v>157</v>
      </c>
      <c r="F9" s="34">
        <v>1.2</v>
      </c>
      <c r="G9" s="35" t="s">
        <v>158</v>
      </c>
      <c r="H9" s="12"/>
      <c r="I9" s="14"/>
      <c r="J9" s="14"/>
      <c r="K9" s="14"/>
      <c r="L9" s="14"/>
      <c r="M9" s="41"/>
      <c r="N9" s="42"/>
      <c r="O9" s="45" t="s">
        <v>159</v>
      </c>
      <c r="P9" s="42"/>
      <c r="Q9" s="46" t="s">
        <v>160</v>
      </c>
      <c r="R9" s="38">
        <f aca="true" t="shared" si="0" ref="R9:R14">F6</f>
        <v>1750</v>
      </c>
      <c r="S9" s="39" t="s">
        <v>9</v>
      </c>
    </row>
    <row r="10" spans="1:19" ht="13.5">
      <c r="A10" s="29" t="s">
        <v>10</v>
      </c>
      <c r="B10" s="43"/>
      <c r="C10" s="40" t="s">
        <v>161</v>
      </c>
      <c r="D10" s="12"/>
      <c r="E10" s="33" t="s">
        <v>162</v>
      </c>
      <c r="F10" s="34">
        <v>1.5</v>
      </c>
      <c r="G10" s="35" t="s">
        <v>163</v>
      </c>
      <c r="H10" s="12"/>
      <c r="I10" s="14"/>
      <c r="J10" s="14"/>
      <c r="K10" s="14"/>
      <c r="L10" s="14"/>
      <c r="M10" s="41"/>
      <c r="N10" s="42"/>
      <c r="O10" s="42" t="s">
        <v>164</v>
      </c>
      <c r="P10" s="42"/>
      <c r="Q10" s="46" t="s">
        <v>165</v>
      </c>
      <c r="R10" s="38">
        <f t="shared" si="0"/>
        <v>0.8</v>
      </c>
      <c r="S10" s="39" t="s">
        <v>166</v>
      </c>
    </row>
    <row r="11" spans="1:19" ht="15.75">
      <c r="A11" s="29" t="s">
        <v>11</v>
      </c>
      <c r="B11" s="43"/>
      <c r="C11" s="40" t="s">
        <v>167</v>
      </c>
      <c r="D11" s="40"/>
      <c r="E11" s="33" t="s">
        <v>168</v>
      </c>
      <c r="F11" s="34">
        <v>0.028</v>
      </c>
      <c r="G11" s="35" t="s">
        <v>169</v>
      </c>
      <c r="H11" s="12"/>
      <c r="I11" s="14"/>
      <c r="J11" s="14"/>
      <c r="K11" s="14"/>
      <c r="L11" s="14"/>
      <c r="M11" s="41"/>
      <c r="N11" s="42"/>
      <c r="O11" s="42" t="s">
        <v>170</v>
      </c>
      <c r="P11" s="42"/>
      <c r="Q11" s="46" t="s">
        <v>171</v>
      </c>
      <c r="R11" s="38">
        <f t="shared" si="0"/>
        <v>1.2</v>
      </c>
      <c r="S11" s="39" t="s">
        <v>166</v>
      </c>
    </row>
    <row r="12" spans="1:19" ht="13.5">
      <c r="A12" s="29" t="s">
        <v>12</v>
      </c>
      <c r="B12" s="43"/>
      <c r="C12" s="40" t="s">
        <v>172</v>
      </c>
      <c r="D12" s="40"/>
      <c r="E12" s="33" t="s">
        <v>337</v>
      </c>
      <c r="F12" s="34">
        <v>59</v>
      </c>
      <c r="G12" s="35" t="s">
        <v>333</v>
      </c>
      <c r="H12" s="12"/>
      <c r="I12" s="14"/>
      <c r="J12" s="14"/>
      <c r="K12" s="14"/>
      <c r="L12" s="14"/>
      <c r="M12" s="41"/>
      <c r="N12" s="42"/>
      <c r="O12" s="42" t="s">
        <v>338</v>
      </c>
      <c r="P12" s="42"/>
      <c r="Q12" s="46" t="s">
        <v>339</v>
      </c>
      <c r="R12" s="38">
        <f t="shared" si="0"/>
        <v>1.2</v>
      </c>
      <c r="S12" s="39" t="s">
        <v>340</v>
      </c>
    </row>
    <row r="13" spans="1:19" ht="13.5">
      <c r="A13" s="29" t="s">
        <v>13</v>
      </c>
      <c r="B13" s="32"/>
      <c r="C13" s="40" t="s">
        <v>173</v>
      </c>
      <c r="D13" s="32"/>
      <c r="E13" s="33" t="s">
        <v>174</v>
      </c>
      <c r="F13" s="34">
        <v>1</v>
      </c>
      <c r="G13" s="35" t="s">
        <v>175</v>
      </c>
      <c r="H13" s="12"/>
      <c r="I13" s="14"/>
      <c r="J13" s="14"/>
      <c r="K13" s="14"/>
      <c r="L13" s="14"/>
      <c r="M13" s="41"/>
      <c r="N13" s="12"/>
      <c r="O13" s="47" t="s">
        <v>176</v>
      </c>
      <c r="P13" s="12"/>
      <c r="Q13" s="46" t="s">
        <v>177</v>
      </c>
      <c r="R13" s="38">
        <f t="shared" si="0"/>
        <v>1.5</v>
      </c>
      <c r="S13" s="39" t="s">
        <v>178</v>
      </c>
    </row>
    <row r="14" spans="1:19" ht="13.5">
      <c r="A14" s="29" t="s">
        <v>14</v>
      </c>
      <c r="B14" s="32"/>
      <c r="C14" s="40" t="s">
        <v>179</v>
      </c>
      <c r="D14" s="32"/>
      <c r="E14" s="33" t="s">
        <v>180</v>
      </c>
      <c r="F14" s="34">
        <v>1</v>
      </c>
      <c r="G14" s="35" t="s">
        <v>181</v>
      </c>
      <c r="H14" s="12"/>
      <c r="I14" s="14"/>
      <c r="J14" s="14"/>
      <c r="K14" s="14"/>
      <c r="L14" s="14"/>
      <c r="M14" s="41"/>
      <c r="N14" s="42"/>
      <c r="O14" s="42" t="s">
        <v>182</v>
      </c>
      <c r="P14" s="42"/>
      <c r="Q14" s="38" t="s">
        <v>183</v>
      </c>
      <c r="R14" s="38">
        <f t="shared" si="0"/>
        <v>0.028</v>
      </c>
      <c r="S14" s="39" t="s">
        <v>184</v>
      </c>
    </row>
    <row r="15" spans="1:19" ht="13.5">
      <c r="A15" s="29" t="s">
        <v>15</v>
      </c>
      <c r="B15" s="43"/>
      <c r="C15" s="40" t="s">
        <v>185</v>
      </c>
      <c r="D15" s="40"/>
      <c r="E15" s="33" t="s">
        <v>186</v>
      </c>
      <c r="F15" s="34">
        <v>460</v>
      </c>
      <c r="G15" s="35" t="s">
        <v>16</v>
      </c>
      <c r="H15" s="12"/>
      <c r="I15" s="14"/>
      <c r="J15" s="14"/>
      <c r="K15" s="14"/>
      <c r="L15" s="14"/>
      <c r="M15" s="48" t="s">
        <v>187</v>
      </c>
      <c r="N15" s="14"/>
      <c r="O15" s="14"/>
      <c r="P15" s="42"/>
      <c r="Q15" s="42"/>
      <c r="R15" s="42"/>
      <c r="S15" s="44"/>
    </row>
    <row r="16" spans="1:19" ht="13.5">
      <c r="A16" s="29" t="s">
        <v>17</v>
      </c>
      <c r="B16" s="40" t="s">
        <v>188</v>
      </c>
      <c r="C16" s="31" t="s">
        <v>189</v>
      </c>
      <c r="D16" s="32"/>
      <c r="E16" s="33" t="s">
        <v>190</v>
      </c>
      <c r="F16" s="34" t="s">
        <v>191</v>
      </c>
      <c r="G16" s="35" t="s">
        <v>192</v>
      </c>
      <c r="H16" s="12"/>
      <c r="I16" s="14"/>
      <c r="J16" s="14"/>
      <c r="K16" s="14"/>
      <c r="L16" s="14"/>
      <c r="M16" s="48" t="s">
        <v>18</v>
      </c>
      <c r="N16" s="14"/>
      <c r="O16" s="14"/>
      <c r="P16" s="14"/>
      <c r="Q16" s="14"/>
      <c r="R16" s="14"/>
      <c r="S16" s="49"/>
    </row>
    <row r="17" spans="1:19" ht="13.5">
      <c r="A17" s="29" t="s">
        <v>19</v>
      </c>
      <c r="B17" s="32"/>
      <c r="C17" s="40" t="s">
        <v>193</v>
      </c>
      <c r="D17" s="32"/>
      <c r="E17" s="33" t="s">
        <v>194</v>
      </c>
      <c r="F17" s="34">
        <v>1530</v>
      </c>
      <c r="G17" s="35" t="s">
        <v>150</v>
      </c>
      <c r="H17" s="12"/>
      <c r="I17" s="14"/>
      <c r="J17" s="14"/>
      <c r="K17" s="14"/>
      <c r="L17" s="14"/>
      <c r="M17" s="50"/>
      <c r="P17" s="14"/>
      <c r="Q17" s="14"/>
      <c r="R17" s="14"/>
      <c r="S17" s="51"/>
    </row>
    <row r="18" spans="1:19" ht="13.5">
      <c r="A18" s="29" t="s">
        <v>20</v>
      </c>
      <c r="B18" s="12"/>
      <c r="C18" s="40" t="s">
        <v>195</v>
      </c>
      <c r="D18" s="32"/>
      <c r="E18" s="33" t="s">
        <v>196</v>
      </c>
      <c r="F18" s="34">
        <v>8200</v>
      </c>
      <c r="G18" s="35" t="s">
        <v>197</v>
      </c>
      <c r="H18" s="12"/>
      <c r="I18" s="14"/>
      <c r="J18" s="14"/>
      <c r="K18" s="14"/>
      <c r="L18" s="14"/>
      <c r="M18" s="48" t="s">
        <v>198</v>
      </c>
      <c r="N18" s="14"/>
      <c r="O18" s="14"/>
      <c r="P18" s="14"/>
      <c r="Q18" s="14" t="s">
        <v>199</v>
      </c>
      <c r="R18" s="42">
        <f>F15</f>
        <v>460</v>
      </c>
      <c r="S18" s="51" t="s">
        <v>197</v>
      </c>
    </row>
    <row r="19" spans="1:19" ht="13.5">
      <c r="A19" s="29" t="s">
        <v>21</v>
      </c>
      <c r="B19" s="43"/>
      <c r="C19" s="40" t="s">
        <v>200</v>
      </c>
      <c r="D19" s="40"/>
      <c r="E19" s="33" t="s">
        <v>201</v>
      </c>
      <c r="F19" s="34">
        <v>20</v>
      </c>
      <c r="G19" s="35" t="s">
        <v>202</v>
      </c>
      <c r="H19" s="12"/>
      <c r="I19" s="14"/>
      <c r="J19" s="14"/>
      <c r="K19" s="14"/>
      <c r="L19" s="14"/>
      <c r="M19" s="48" t="s">
        <v>203</v>
      </c>
      <c r="N19" s="14"/>
      <c r="O19" s="14"/>
      <c r="P19" s="14"/>
      <c r="Q19" s="14"/>
      <c r="R19" s="52">
        <f>R9/R4/(F20/F19)*(F21*PI()/1000)</f>
        <v>2.4264809698997776</v>
      </c>
      <c r="S19" s="51" t="s">
        <v>22</v>
      </c>
    </row>
    <row r="20" spans="1:19" ht="13.5">
      <c r="A20" s="29" t="s">
        <v>23</v>
      </c>
      <c r="B20" s="43"/>
      <c r="C20" s="40" t="s">
        <v>204</v>
      </c>
      <c r="D20" s="40"/>
      <c r="E20" s="33" t="s">
        <v>205</v>
      </c>
      <c r="F20" s="34">
        <v>75</v>
      </c>
      <c r="G20" s="35" t="s">
        <v>206</v>
      </c>
      <c r="H20" s="12"/>
      <c r="I20" s="14"/>
      <c r="J20" s="14"/>
      <c r="K20" s="14"/>
      <c r="L20" s="14"/>
      <c r="M20" s="48"/>
      <c r="N20" s="42"/>
      <c r="O20" s="14"/>
      <c r="P20" s="14" t="s">
        <v>24</v>
      </c>
      <c r="Q20" s="14"/>
      <c r="R20" s="42">
        <f>F29</f>
        <v>1.03</v>
      </c>
      <c r="S20" s="51" t="s">
        <v>207</v>
      </c>
    </row>
    <row r="21" spans="1:19" ht="13.5">
      <c r="A21" s="29" t="s">
        <v>25</v>
      </c>
      <c r="B21" s="43"/>
      <c r="C21" s="40" t="s">
        <v>208</v>
      </c>
      <c r="D21" s="40"/>
      <c r="E21" s="33" t="s">
        <v>26</v>
      </c>
      <c r="F21" s="34">
        <v>97.65</v>
      </c>
      <c r="G21" s="35" t="s">
        <v>27</v>
      </c>
      <c r="H21" s="12"/>
      <c r="I21" s="14"/>
      <c r="J21" s="14"/>
      <c r="K21" s="14"/>
      <c r="L21" s="14"/>
      <c r="M21" s="48" t="s">
        <v>209</v>
      </c>
      <c r="N21" s="14"/>
      <c r="O21" s="38">
        <f>F24</f>
        <v>16</v>
      </c>
      <c r="P21" s="14" t="s">
        <v>210</v>
      </c>
      <c r="Q21" s="14"/>
      <c r="R21" s="42">
        <f>F25</f>
        <v>1.25</v>
      </c>
      <c r="S21" s="51" t="s">
        <v>333</v>
      </c>
    </row>
    <row r="22" spans="1:19" ht="13.5">
      <c r="A22" s="29" t="s">
        <v>28</v>
      </c>
      <c r="B22" s="43"/>
      <c r="C22" s="40" t="s">
        <v>211</v>
      </c>
      <c r="D22" s="40"/>
      <c r="E22" s="33" t="s">
        <v>29</v>
      </c>
      <c r="F22" s="53">
        <f>R32</f>
        <v>0.0032002045389255963</v>
      </c>
      <c r="G22" s="35" t="s">
        <v>212</v>
      </c>
      <c r="H22" s="12"/>
      <c r="I22" s="14"/>
      <c r="J22" s="14"/>
      <c r="K22" s="14"/>
      <c r="L22" s="14"/>
      <c r="M22" s="48" t="s">
        <v>213</v>
      </c>
      <c r="N22" s="14"/>
      <c r="O22" s="14"/>
      <c r="P22" s="14" t="s">
        <v>214</v>
      </c>
      <c r="Q22" s="14"/>
      <c r="R22" s="42">
        <f>F26</f>
        <v>1.3</v>
      </c>
      <c r="S22" s="51" t="s">
        <v>212</v>
      </c>
    </row>
    <row r="23" spans="1:19" ht="13.5">
      <c r="A23" s="29" t="s">
        <v>30</v>
      </c>
      <c r="B23" s="43"/>
      <c r="C23" s="40" t="s">
        <v>215</v>
      </c>
      <c r="D23" s="40"/>
      <c r="E23" s="33" t="s">
        <v>31</v>
      </c>
      <c r="F23" s="34">
        <v>0.2</v>
      </c>
      <c r="G23" s="35" t="s">
        <v>216</v>
      </c>
      <c r="H23" s="12"/>
      <c r="I23" s="14"/>
      <c r="J23" s="14"/>
      <c r="K23" s="14"/>
      <c r="L23" s="14"/>
      <c r="M23" s="48" t="s">
        <v>217</v>
      </c>
      <c r="N23" s="14"/>
      <c r="O23" s="14" t="s">
        <v>218</v>
      </c>
      <c r="P23" s="14"/>
      <c r="Q23" s="14"/>
      <c r="R23" s="42">
        <f>F27</f>
        <v>0.6</v>
      </c>
      <c r="S23" s="51" t="s">
        <v>216</v>
      </c>
    </row>
    <row r="24" spans="1:19" ht="13.5">
      <c r="A24" s="29" t="s">
        <v>32</v>
      </c>
      <c r="B24" s="43"/>
      <c r="C24" s="40" t="s">
        <v>209</v>
      </c>
      <c r="D24" s="40"/>
      <c r="E24" s="33" t="s">
        <v>341</v>
      </c>
      <c r="F24" s="34">
        <v>16</v>
      </c>
      <c r="G24" s="35" t="s">
        <v>341</v>
      </c>
      <c r="H24" s="12"/>
      <c r="I24" s="14"/>
      <c r="J24" s="14"/>
      <c r="K24" s="14"/>
      <c r="L24" s="14"/>
      <c r="M24" s="48"/>
      <c r="N24" s="14"/>
      <c r="O24" s="14"/>
      <c r="P24" s="14"/>
      <c r="Q24" s="14"/>
      <c r="R24" s="14"/>
      <c r="S24" s="51"/>
    </row>
    <row r="25" spans="1:19" ht="13.5">
      <c r="A25" s="29" t="s">
        <v>33</v>
      </c>
      <c r="B25" s="43"/>
      <c r="C25" s="40" t="s">
        <v>219</v>
      </c>
      <c r="D25" s="40"/>
      <c r="E25" s="33" t="s">
        <v>34</v>
      </c>
      <c r="F25" s="34">
        <v>1.25</v>
      </c>
      <c r="G25" s="35" t="s">
        <v>220</v>
      </c>
      <c r="H25" s="12"/>
      <c r="I25" s="14" t="s">
        <v>221</v>
      </c>
      <c r="J25" s="14"/>
      <c r="K25" s="14"/>
      <c r="L25" s="14"/>
      <c r="M25" s="48" t="s">
        <v>222</v>
      </c>
      <c r="N25" s="14" t="s">
        <v>223</v>
      </c>
      <c r="O25" s="14"/>
      <c r="P25" s="14"/>
      <c r="Q25" s="14"/>
      <c r="R25" s="54">
        <f>R18*R20*R21*R22*R23</f>
        <v>461.95500000000004</v>
      </c>
      <c r="S25" s="55" t="s">
        <v>224</v>
      </c>
    </row>
    <row r="26" spans="1:19" ht="14.25" thickBot="1">
      <c r="A26" s="29" t="s">
        <v>35</v>
      </c>
      <c r="B26" s="43"/>
      <c r="C26" s="40" t="s">
        <v>225</v>
      </c>
      <c r="D26" s="40"/>
      <c r="E26" s="33" t="s">
        <v>36</v>
      </c>
      <c r="F26" s="34">
        <v>1.3</v>
      </c>
      <c r="G26" s="35" t="s">
        <v>190</v>
      </c>
      <c r="H26" s="12"/>
      <c r="I26" s="14" t="s">
        <v>37</v>
      </c>
      <c r="J26" s="14"/>
      <c r="K26" s="14"/>
      <c r="L26" s="14"/>
      <c r="M26" s="48"/>
      <c r="N26" s="14"/>
      <c r="O26" s="14"/>
      <c r="P26" s="14"/>
      <c r="Q26" s="14"/>
      <c r="R26" s="14"/>
      <c r="S26" s="49"/>
    </row>
    <row r="27" spans="1:19" ht="13.5">
      <c r="A27" s="29" t="s">
        <v>38</v>
      </c>
      <c r="B27" s="43"/>
      <c r="C27" s="40" t="s">
        <v>226</v>
      </c>
      <c r="D27" s="40"/>
      <c r="E27" s="33" t="s">
        <v>227</v>
      </c>
      <c r="F27" s="34">
        <v>0.6</v>
      </c>
      <c r="G27" s="35" t="s">
        <v>192</v>
      </c>
      <c r="H27" s="12"/>
      <c r="I27" s="14" t="s">
        <v>228</v>
      </c>
      <c r="J27" s="14"/>
      <c r="K27" s="56">
        <f>(F8+F9)/2</f>
        <v>1.2</v>
      </c>
      <c r="L27" s="47" t="s">
        <v>229</v>
      </c>
      <c r="M27" s="27" t="s">
        <v>39</v>
      </c>
      <c r="N27" s="23"/>
      <c r="O27" s="23"/>
      <c r="P27" s="23"/>
      <c r="Q27" s="23"/>
      <c r="R27" s="23"/>
      <c r="S27" s="57"/>
    </row>
    <row r="28" spans="1:19" ht="13.5">
      <c r="A28" s="29" t="s">
        <v>40</v>
      </c>
      <c r="B28" s="43"/>
      <c r="C28" s="40" t="s">
        <v>41</v>
      </c>
      <c r="D28" s="40"/>
      <c r="E28" s="33" t="s">
        <v>42</v>
      </c>
      <c r="F28" s="58">
        <f>R19</f>
        <v>2.4264809698997776</v>
      </c>
      <c r="G28" s="35" t="s">
        <v>22</v>
      </c>
      <c r="H28" s="12"/>
      <c r="I28" s="14" t="s">
        <v>230</v>
      </c>
      <c r="J28" s="14"/>
      <c r="K28" s="56"/>
      <c r="L28" s="47"/>
      <c r="M28" s="48" t="s">
        <v>342</v>
      </c>
      <c r="N28" s="14"/>
      <c r="O28" s="14"/>
      <c r="P28" s="14"/>
      <c r="Q28" s="14"/>
      <c r="R28" s="14"/>
      <c r="S28" s="49"/>
    </row>
    <row r="29" spans="1:19" ht="13.5">
      <c r="A29" s="29" t="s">
        <v>43</v>
      </c>
      <c r="B29" s="43"/>
      <c r="C29" s="40" t="s">
        <v>231</v>
      </c>
      <c r="D29" s="40"/>
      <c r="E29" s="33" t="s">
        <v>232</v>
      </c>
      <c r="F29" s="34">
        <v>1.03</v>
      </c>
      <c r="G29" s="35" t="s">
        <v>174</v>
      </c>
      <c r="H29" s="12"/>
      <c r="I29" s="14" t="s">
        <v>233</v>
      </c>
      <c r="J29" s="14"/>
      <c r="K29" s="56">
        <f>F15*F21/(2*1000*F12*(F20/F19))</f>
        <v>0.10151186440677966</v>
      </c>
      <c r="L29" s="47" t="s">
        <v>178</v>
      </c>
      <c r="M29" s="48"/>
      <c r="N29" s="14"/>
      <c r="O29" s="14"/>
      <c r="P29" s="14"/>
      <c r="Q29" s="14"/>
      <c r="R29" s="14"/>
      <c r="S29" s="49"/>
    </row>
    <row r="30" spans="1:19" ht="13.5">
      <c r="A30" s="29" t="s">
        <v>44</v>
      </c>
      <c r="B30" s="43"/>
      <c r="C30" s="40" t="s">
        <v>234</v>
      </c>
      <c r="D30" s="40"/>
      <c r="E30" s="33" t="s">
        <v>235</v>
      </c>
      <c r="F30" s="59" t="s">
        <v>174</v>
      </c>
      <c r="G30" s="35" t="s">
        <v>174</v>
      </c>
      <c r="H30" s="12"/>
      <c r="I30" s="42"/>
      <c r="J30" s="42"/>
      <c r="K30" s="42"/>
      <c r="L30" s="42"/>
      <c r="M30" s="48" t="s">
        <v>236</v>
      </c>
      <c r="N30" s="14"/>
      <c r="O30" s="14" t="s">
        <v>237</v>
      </c>
      <c r="P30" s="14"/>
      <c r="Q30" s="14"/>
      <c r="R30" s="42">
        <f>F15*(F28/PI()/F6)^2</f>
        <v>8.96057270899167E-05</v>
      </c>
      <c r="S30" s="51" t="s">
        <v>238</v>
      </c>
    </row>
    <row r="31" spans="1:19" ht="13.5">
      <c r="A31" s="29" t="s">
        <v>45</v>
      </c>
      <c r="B31" s="43"/>
      <c r="C31" s="40" t="s">
        <v>239</v>
      </c>
      <c r="D31" s="40"/>
      <c r="E31" s="33" t="s">
        <v>46</v>
      </c>
      <c r="F31" s="33" t="s">
        <v>174</v>
      </c>
      <c r="G31" s="35" t="s">
        <v>174</v>
      </c>
      <c r="H31" s="12"/>
      <c r="I31" s="42" t="s">
        <v>240</v>
      </c>
      <c r="J31" s="42"/>
      <c r="K31" s="56"/>
      <c r="L31" s="37" t="s">
        <v>241</v>
      </c>
      <c r="M31" s="48" t="s">
        <v>242</v>
      </c>
      <c r="N31" s="14"/>
      <c r="O31" s="14"/>
      <c r="P31" s="14"/>
      <c r="Q31" s="14" t="s">
        <v>243</v>
      </c>
      <c r="R31" s="42">
        <f>F11</f>
        <v>0.028</v>
      </c>
      <c r="S31" s="51" t="s">
        <v>238</v>
      </c>
    </row>
    <row r="32" spans="1:19" ht="13.5">
      <c r="A32" s="29" t="s">
        <v>47</v>
      </c>
      <c r="B32" s="43"/>
      <c r="C32" s="40" t="s">
        <v>48</v>
      </c>
      <c r="D32" s="40"/>
      <c r="E32" s="33" t="s">
        <v>244</v>
      </c>
      <c r="F32" s="33" t="s">
        <v>174</v>
      </c>
      <c r="G32" s="35" t="s">
        <v>49</v>
      </c>
      <c r="H32" s="12"/>
      <c r="I32" s="42" t="s">
        <v>245</v>
      </c>
      <c r="J32" s="42"/>
      <c r="K32" s="60">
        <f>(R14+R30)*R9/(375*(K27-K29))</f>
        <v>0.11933203689599198</v>
      </c>
      <c r="L32" s="37" t="s">
        <v>246</v>
      </c>
      <c r="M32" s="41" t="s">
        <v>247</v>
      </c>
      <c r="N32" s="42"/>
      <c r="O32" s="42"/>
      <c r="P32" s="42" t="s">
        <v>248</v>
      </c>
      <c r="Q32" s="42"/>
      <c r="R32" s="42">
        <f>R30/F11</f>
        <v>0.0032002045389255963</v>
      </c>
      <c r="S32" s="39" t="s">
        <v>249</v>
      </c>
    </row>
    <row r="33" spans="1:19" ht="13.5">
      <c r="A33" s="29" t="s">
        <v>50</v>
      </c>
      <c r="B33" s="43"/>
      <c r="C33" s="40" t="s">
        <v>51</v>
      </c>
      <c r="D33" s="40"/>
      <c r="E33" s="33" t="s">
        <v>52</v>
      </c>
      <c r="F33" s="61" t="s">
        <v>249</v>
      </c>
      <c r="G33" s="35" t="s">
        <v>27</v>
      </c>
      <c r="H33" s="42"/>
      <c r="I33" s="42" t="s">
        <v>250</v>
      </c>
      <c r="J33" s="42"/>
      <c r="K33" s="60">
        <f>F13</f>
        <v>1</v>
      </c>
      <c r="L33" s="37" t="s">
        <v>251</v>
      </c>
      <c r="M33" s="41"/>
      <c r="N33" s="42"/>
      <c r="O33" s="42"/>
      <c r="P33" s="42"/>
      <c r="Q33" s="42"/>
      <c r="R33" s="42"/>
      <c r="S33" s="39"/>
    </row>
    <row r="34" spans="1:19" ht="13.5">
      <c r="A34" s="29" t="s">
        <v>53</v>
      </c>
      <c r="B34" s="43"/>
      <c r="C34" s="40" t="s">
        <v>252</v>
      </c>
      <c r="D34" s="40"/>
      <c r="E34" s="33" t="s">
        <v>343</v>
      </c>
      <c r="F34" s="62">
        <f>K45</f>
        <v>461.89698018887503</v>
      </c>
      <c r="G34" s="35" t="s">
        <v>344</v>
      </c>
      <c r="H34" s="12"/>
      <c r="I34" s="42" t="s">
        <v>253</v>
      </c>
      <c r="J34" s="46" t="s">
        <v>54</v>
      </c>
      <c r="K34" s="60">
        <f>MAX(K32,K33)</f>
        <v>1</v>
      </c>
      <c r="L34" s="37" t="s">
        <v>175</v>
      </c>
      <c r="M34" s="41" t="s">
        <v>254</v>
      </c>
      <c r="N34" s="42"/>
      <c r="O34" s="42"/>
      <c r="P34" s="42" t="s">
        <v>255</v>
      </c>
      <c r="Q34" s="42"/>
      <c r="R34" s="38">
        <f>F23</f>
        <v>0.2</v>
      </c>
      <c r="S34" s="39" t="s">
        <v>333</v>
      </c>
    </row>
    <row r="35" spans="1:19" ht="13.5">
      <c r="A35" s="29" t="s">
        <v>55</v>
      </c>
      <c r="B35" s="43"/>
      <c r="C35" s="40" t="s">
        <v>256</v>
      </c>
      <c r="D35" s="40"/>
      <c r="E35" s="33" t="s">
        <v>345</v>
      </c>
      <c r="F35" s="62">
        <f>K47</f>
        <v>356.815417195906</v>
      </c>
      <c r="G35" s="35" t="s">
        <v>344</v>
      </c>
      <c r="H35" s="12"/>
      <c r="I35" s="42"/>
      <c r="J35" s="42"/>
      <c r="K35" s="63"/>
      <c r="L35" s="42"/>
      <c r="M35" s="41"/>
      <c r="N35" s="42"/>
      <c r="O35" s="42"/>
      <c r="P35" s="42"/>
      <c r="Q35" s="38"/>
      <c r="R35" s="42"/>
      <c r="S35" s="39"/>
    </row>
    <row r="36" spans="1:19" ht="13.5">
      <c r="A36" s="29" t="s">
        <v>56</v>
      </c>
      <c r="B36" s="43"/>
      <c r="C36" s="40" t="s">
        <v>57</v>
      </c>
      <c r="D36" s="40"/>
      <c r="E36" s="33" t="s">
        <v>58</v>
      </c>
      <c r="F36" s="62" t="s">
        <v>333</v>
      </c>
      <c r="G36" s="35" t="s">
        <v>344</v>
      </c>
      <c r="H36" s="12"/>
      <c r="I36" s="42" t="s">
        <v>257</v>
      </c>
      <c r="J36" s="42"/>
      <c r="K36" s="63"/>
      <c r="L36" s="37"/>
      <c r="M36" s="41" t="s">
        <v>258</v>
      </c>
      <c r="N36" s="42"/>
      <c r="O36" s="42"/>
      <c r="P36" s="42"/>
      <c r="Q36" s="42"/>
      <c r="R36" s="42"/>
      <c r="S36" s="39"/>
    </row>
    <row r="37" spans="1:19" ht="13.5">
      <c r="A37" s="29" t="s">
        <v>59</v>
      </c>
      <c r="B37" s="43"/>
      <c r="C37" s="40" t="s">
        <v>60</v>
      </c>
      <c r="D37" s="40"/>
      <c r="E37" s="33" t="s">
        <v>259</v>
      </c>
      <c r="F37" s="62" t="s">
        <v>260</v>
      </c>
      <c r="G37" s="35" t="s">
        <v>261</v>
      </c>
      <c r="H37" s="12"/>
      <c r="I37" s="42" t="s">
        <v>262</v>
      </c>
      <c r="J37" s="42"/>
      <c r="K37" s="63">
        <f>(F11+R30)*F6/(375*(K27+K29))</f>
        <v>0.1007173505761065</v>
      </c>
      <c r="L37" s="37" t="s">
        <v>263</v>
      </c>
      <c r="M37" s="41"/>
      <c r="N37" s="42"/>
      <c r="O37" s="42"/>
      <c r="P37" s="42" t="s">
        <v>264</v>
      </c>
      <c r="Q37" s="42"/>
      <c r="R37" s="42">
        <f>F8</f>
        <v>1.2</v>
      </c>
      <c r="S37" s="39" t="s">
        <v>265</v>
      </c>
    </row>
    <row r="38" spans="1:19" ht="13.5">
      <c r="A38" s="29" t="s">
        <v>61</v>
      </c>
      <c r="B38" s="43"/>
      <c r="C38" s="40" t="s">
        <v>266</v>
      </c>
      <c r="D38" s="40"/>
      <c r="E38" s="33" t="s">
        <v>346</v>
      </c>
      <c r="F38" s="62" t="s">
        <v>333</v>
      </c>
      <c r="G38" s="35" t="s">
        <v>344</v>
      </c>
      <c r="H38" s="12"/>
      <c r="I38" s="42" t="s">
        <v>250</v>
      </c>
      <c r="J38" s="42"/>
      <c r="K38" s="60">
        <f>F14</f>
        <v>1</v>
      </c>
      <c r="L38" s="37" t="s">
        <v>251</v>
      </c>
      <c r="M38" s="41" t="s">
        <v>267</v>
      </c>
      <c r="N38" s="42"/>
      <c r="O38" s="42"/>
      <c r="P38" s="42"/>
      <c r="Q38" s="42"/>
      <c r="R38" s="64">
        <f>F8*F12*(F20/F19)*1000/(F21/2)</f>
        <v>5437.78801843318</v>
      </c>
      <c r="S38" s="39" t="s">
        <v>268</v>
      </c>
    </row>
    <row r="39" spans="1:19" ht="13.5">
      <c r="A39" s="29" t="s">
        <v>62</v>
      </c>
      <c r="B39" s="43"/>
      <c r="C39" s="40" t="s">
        <v>269</v>
      </c>
      <c r="D39" s="40"/>
      <c r="E39" s="33" t="s">
        <v>347</v>
      </c>
      <c r="F39" s="62" t="s">
        <v>333</v>
      </c>
      <c r="G39" s="35" t="s">
        <v>344</v>
      </c>
      <c r="H39" s="12"/>
      <c r="I39" s="42" t="s">
        <v>270</v>
      </c>
      <c r="J39" s="46" t="s">
        <v>63</v>
      </c>
      <c r="K39" s="63">
        <f>MAX(K37,K38)</f>
        <v>1</v>
      </c>
      <c r="L39" s="37" t="s">
        <v>181</v>
      </c>
      <c r="M39" s="41" t="s">
        <v>271</v>
      </c>
      <c r="N39" s="42"/>
      <c r="O39" s="42"/>
      <c r="P39" s="42"/>
      <c r="Q39" s="42"/>
      <c r="R39" s="42"/>
      <c r="S39" s="39"/>
    </row>
    <row r="40" spans="1:19" ht="13.5">
      <c r="A40" s="29" t="s">
        <v>64</v>
      </c>
      <c r="B40" s="43"/>
      <c r="C40" s="40" t="s">
        <v>65</v>
      </c>
      <c r="D40" s="40"/>
      <c r="E40" s="33" t="s">
        <v>66</v>
      </c>
      <c r="F40" s="62" t="s">
        <v>333</v>
      </c>
      <c r="G40" s="35" t="s">
        <v>344</v>
      </c>
      <c r="H40" s="12"/>
      <c r="I40" s="14"/>
      <c r="J40" s="14"/>
      <c r="K40" s="14"/>
      <c r="L40" s="14"/>
      <c r="M40" s="41"/>
      <c r="N40" s="42"/>
      <c r="O40" s="42"/>
      <c r="P40" s="42" t="s">
        <v>272</v>
      </c>
      <c r="Q40" s="42"/>
      <c r="R40" s="42">
        <f>R12</f>
        <v>1.2</v>
      </c>
      <c r="S40" s="39" t="s">
        <v>340</v>
      </c>
    </row>
    <row r="41" spans="1:19" ht="13.5">
      <c r="A41" s="29" t="s">
        <v>67</v>
      </c>
      <c r="B41" s="43"/>
      <c r="C41" s="40" t="s">
        <v>68</v>
      </c>
      <c r="D41" s="40"/>
      <c r="E41" s="33" t="s">
        <v>348</v>
      </c>
      <c r="F41" s="62" t="s">
        <v>333</v>
      </c>
      <c r="G41" s="35" t="s">
        <v>344</v>
      </c>
      <c r="H41" s="12"/>
      <c r="I41" s="14" t="s">
        <v>273</v>
      </c>
      <c r="J41" s="14"/>
      <c r="K41" s="14"/>
      <c r="L41" s="47"/>
      <c r="M41" s="41" t="s">
        <v>274</v>
      </c>
      <c r="N41" s="42"/>
      <c r="O41" s="42"/>
      <c r="P41" s="42"/>
      <c r="Q41" s="42"/>
      <c r="R41" s="64">
        <f>F9*F12*(F20/F19)*1000*1.2/(F21/2)</f>
        <v>6525.345622119815</v>
      </c>
      <c r="S41" s="39" t="s">
        <v>275</v>
      </c>
    </row>
    <row r="42" spans="1:19" ht="13.5">
      <c r="A42" s="29" t="s">
        <v>69</v>
      </c>
      <c r="B42" s="43"/>
      <c r="C42" s="40" t="s">
        <v>70</v>
      </c>
      <c r="D42" s="40"/>
      <c r="E42" s="33" t="s">
        <v>71</v>
      </c>
      <c r="F42" s="62">
        <f>R38</f>
        <v>5437.78801843318</v>
      </c>
      <c r="G42" s="35" t="s">
        <v>276</v>
      </c>
      <c r="H42" s="12"/>
      <c r="I42" s="14" t="s">
        <v>277</v>
      </c>
      <c r="J42" s="14"/>
      <c r="K42" s="14"/>
      <c r="L42" s="47"/>
      <c r="M42" s="48"/>
      <c r="N42" s="14"/>
      <c r="O42" s="14"/>
      <c r="P42" s="14"/>
      <c r="Q42" s="14"/>
      <c r="R42" s="14"/>
      <c r="S42" s="51"/>
    </row>
    <row r="43" spans="1:19" ht="13.5">
      <c r="A43" s="29" t="s">
        <v>72</v>
      </c>
      <c r="B43" s="43"/>
      <c r="C43" s="40" t="s">
        <v>73</v>
      </c>
      <c r="D43" s="40"/>
      <c r="E43" s="33" t="s">
        <v>278</v>
      </c>
      <c r="F43" s="62" t="s">
        <v>279</v>
      </c>
      <c r="G43" s="35" t="s">
        <v>280</v>
      </c>
      <c r="H43" s="12"/>
      <c r="I43" s="14"/>
      <c r="J43" s="65" t="s">
        <v>281</v>
      </c>
      <c r="K43" s="56">
        <f>MIN(K34,K39)</f>
        <v>1</v>
      </c>
      <c r="L43" s="37" t="s">
        <v>282</v>
      </c>
      <c r="M43" s="48" t="s">
        <v>283</v>
      </c>
      <c r="N43" s="14"/>
      <c r="O43" s="14"/>
      <c r="P43" s="14"/>
      <c r="Q43" s="14"/>
      <c r="R43" s="14"/>
      <c r="S43" s="51"/>
    </row>
    <row r="44" spans="1:19" ht="13.5">
      <c r="A44" s="29" t="s">
        <v>74</v>
      </c>
      <c r="B44" s="43"/>
      <c r="C44" s="40" t="s">
        <v>75</v>
      </c>
      <c r="D44" s="40"/>
      <c r="E44" s="33" t="s">
        <v>284</v>
      </c>
      <c r="F44" s="62">
        <f>R41</f>
        <v>6525.345622119815</v>
      </c>
      <c r="G44" s="35" t="s">
        <v>280</v>
      </c>
      <c r="H44" s="12"/>
      <c r="I44" s="14" t="s">
        <v>285</v>
      </c>
      <c r="J44" s="14"/>
      <c r="K44" s="14"/>
      <c r="L44" s="47"/>
      <c r="M44" s="48"/>
      <c r="N44" s="14"/>
      <c r="O44" s="14"/>
      <c r="P44" s="14"/>
      <c r="Q44" s="14"/>
      <c r="R44" s="14"/>
      <c r="S44" s="51"/>
    </row>
    <row r="45" spans="1:19" ht="13.5">
      <c r="A45" s="29" t="s">
        <v>76</v>
      </c>
      <c r="B45" s="43"/>
      <c r="C45" s="40" t="s">
        <v>77</v>
      </c>
      <c r="D45" s="40"/>
      <c r="E45" s="33" t="s">
        <v>349</v>
      </c>
      <c r="F45" s="62">
        <f>R45</f>
        <v>1008.1658986175114</v>
      </c>
      <c r="G45" s="35" t="s">
        <v>344</v>
      </c>
      <c r="H45" s="12"/>
      <c r="I45" s="14" t="s">
        <v>350</v>
      </c>
      <c r="J45" s="14"/>
      <c r="K45" s="64">
        <f>F15*R19/(K43*60*F53)+F15</f>
        <v>461.89698018887503</v>
      </c>
      <c r="L45" s="47" t="s">
        <v>351</v>
      </c>
      <c r="M45" s="48" t="s">
        <v>352</v>
      </c>
      <c r="N45" s="14" t="s">
        <v>353</v>
      </c>
      <c r="O45" s="14"/>
      <c r="P45" s="14"/>
      <c r="Q45" s="14"/>
      <c r="R45" s="54">
        <f>R41*R34*R20*R21*R23</f>
        <v>1008.1658986175114</v>
      </c>
      <c r="S45" s="55" t="s">
        <v>354</v>
      </c>
    </row>
    <row r="46" spans="1:19" ht="13.5">
      <c r="A46" s="29" t="s">
        <v>78</v>
      </c>
      <c r="B46" s="43"/>
      <c r="C46" s="40" t="s">
        <v>79</v>
      </c>
      <c r="D46" s="40"/>
      <c r="E46" s="33" t="s">
        <v>355</v>
      </c>
      <c r="F46" s="62" t="s">
        <v>333</v>
      </c>
      <c r="G46" s="35" t="s">
        <v>344</v>
      </c>
      <c r="H46" s="12"/>
      <c r="I46" s="14" t="s">
        <v>352</v>
      </c>
      <c r="J46" s="14"/>
      <c r="K46" s="66"/>
      <c r="L46" s="47"/>
      <c r="M46" s="48"/>
      <c r="N46" s="14"/>
      <c r="O46" s="14"/>
      <c r="P46" s="14"/>
      <c r="Q46" s="14"/>
      <c r="R46" s="14"/>
      <c r="S46" s="49"/>
    </row>
    <row r="47" spans="1:19" ht="13.5">
      <c r="A47" s="29" t="s">
        <v>80</v>
      </c>
      <c r="B47" s="43"/>
      <c r="C47" s="40" t="s">
        <v>81</v>
      </c>
      <c r="D47" s="40"/>
      <c r="E47" s="33" t="s">
        <v>356</v>
      </c>
      <c r="F47" s="62" t="s">
        <v>333</v>
      </c>
      <c r="G47" s="35" t="s">
        <v>344</v>
      </c>
      <c r="H47" s="12"/>
      <c r="I47" s="14" t="s">
        <v>357</v>
      </c>
      <c r="J47" s="14"/>
      <c r="K47" s="54">
        <f>K45*R20*R21*R23</f>
        <v>356.815417195906</v>
      </c>
      <c r="L47" s="67" t="s">
        <v>358</v>
      </c>
      <c r="M47" s="48"/>
      <c r="N47" s="14"/>
      <c r="O47" s="14"/>
      <c r="P47" s="14"/>
      <c r="Q47" s="14"/>
      <c r="R47" s="14"/>
      <c r="S47" s="49"/>
    </row>
    <row r="48" spans="1:19" ht="14.25" thickBot="1">
      <c r="A48" s="29" t="s">
        <v>82</v>
      </c>
      <c r="B48" s="43"/>
      <c r="C48" s="40" t="s">
        <v>286</v>
      </c>
      <c r="D48" s="40"/>
      <c r="E48" s="33" t="s">
        <v>359</v>
      </c>
      <c r="F48" s="62">
        <f>R18</f>
        <v>460</v>
      </c>
      <c r="G48" s="35" t="s">
        <v>344</v>
      </c>
      <c r="H48" s="12"/>
      <c r="I48" s="12"/>
      <c r="J48" s="12"/>
      <c r="K48" s="12"/>
      <c r="L48" s="12"/>
      <c r="M48" s="48"/>
      <c r="N48" s="14"/>
      <c r="O48" s="14"/>
      <c r="P48" s="14"/>
      <c r="Q48" s="14"/>
      <c r="R48" s="14"/>
      <c r="S48" s="49"/>
    </row>
    <row r="49" spans="1:19" ht="13.5">
      <c r="A49" s="29" t="s">
        <v>83</v>
      </c>
      <c r="B49" s="43"/>
      <c r="C49" s="40" t="s">
        <v>84</v>
      </c>
      <c r="D49" s="40"/>
      <c r="E49" s="33" t="s">
        <v>360</v>
      </c>
      <c r="F49" s="62">
        <f>R25</f>
        <v>461.95500000000004</v>
      </c>
      <c r="G49" s="35" t="s">
        <v>344</v>
      </c>
      <c r="H49" s="27"/>
      <c r="I49" s="68" t="s">
        <v>287</v>
      </c>
      <c r="J49" s="23"/>
      <c r="K49" s="23"/>
      <c r="L49" s="23"/>
      <c r="M49" s="23"/>
      <c r="N49" s="23"/>
      <c r="O49" s="23"/>
      <c r="P49" s="23"/>
      <c r="Q49" s="23"/>
      <c r="R49" s="23"/>
      <c r="S49" s="57"/>
    </row>
    <row r="50" spans="1:19" ht="14.25">
      <c r="A50" s="29" t="s">
        <v>85</v>
      </c>
      <c r="B50" s="69"/>
      <c r="C50" s="40" t="s">
        <v>86</v>
      </c>
      <c r="D50" s="70"/>
      <c r="E50" s="61" t="s">
        <v>288</v>
      </c>
      <c r="F50" s="62">
        <f>K60</f>
        <v>481.7070911590037</v>
      </c>
      <c r="G50" s="71" t="s">
        <v>280</v>
      </c>
      <c r="H50" s="12"/>
      <c r="I50" s="14" t="s">
        <v>289</v>
      </c>
      <c r="J50" s="72" t="str">
        <f>IF(J51=R25,"①",IF(J51=R45,"②","③"))</f>
        <v>②</v>
      </c>
      <c r="K50" s="14" t="s">
        <v>87</v>
      </c>
      <c r="L50" s="12"/>
      <c r="M50" s="14"/>
      <c r="N50" s="14"/>
      <c r="O50" s="14"/>
      <c r="P50" s="14"/>
      <c r="Q50" s="14"/>
      <c r="R50" s="14"/>
      <c r="S50" s="51"/>
    </row>
    <row r="51" spans="1:19" ht="14.25">
      <c r="A51" s="29" t="s">
        <v>88</v>
      </c>
      <c r="B51" s="73"/>
      <c r="C51" s="74" t="s">
        <v>89</v>
      </c>
      <c r="D51" s="75"/>
      <c r="E51" s="76" t="s">
        <v>290</v>
      </c>
      <c r="F51" s="77">
        <f>O57</f>
        <v>372.1187279203304</v>
      </c>
      <c r="G51" s="78" t="s">
        <v>280</v>
      </c>
      <c r="H51" s="12"/>
      <c r="I51" s="47" t="s">
        <v>291</v>
      </c>
      <c r="J51" s="64">
        <f>MAX(R25,R45,K47)</f>
        <v>1008.1658986175114</v>
      </c>
      <c r="K51" s="79" t="str">
        <f>IF(J51=R25,S25,IF(J51=R45,S45,L47))</f>
        <v>kgf･･②</v>
      </c>
      <c r="L51" s="80" t="s">
        <v>292</v>
      </c>
      <c r="M51" s="47" t="str">
        <f>C16</f>
        <v> RS60-2</v>
      </c>
      <c r="N51" s="12" t="s">
        <v>90</v>
      </c>
      <c r="O51" s="38">
        <f>Q6</f>
        <v>1530</v>
      </c>
      <c r="P51" s="80" t="s">
        <v>293</v>
      </c>
      <c r="Q51" s="42" t="str">
        <f>IF(J51&lt;O51,"小さいので使用可能。","大きいので使用不可。")</f>
        <v>小さいので使用可能。</v>
      </c>
      <c r="R51" s="42"/>
      <c r="S51" s="44"/>
    </row>
    <row r="52" spans="1:19" ht="16.5">
      <c r="A52" s="29" t="s">
        <v>91</v>
      </c>
      <c r="B52" s="43"/>
      <c r="C52" s="40" t="s">
        <v>294</v>
      </c>
      <c r="D52" s="40"/>
      <c r="E52" s="33" t="s">
        <v>295</v>
      </c>
      <c r="F52" s="61" t="s">
        <v>279</v>
      </c>
      <c r="G52" s="35" t="s">
        <v>279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49"/>
    </row>
    <row r="53" spans="1:19" ht="14.25" thickBot="1">
      <c r="A53" s="29" t="s">
        <v>92</v>
      </c>
      <c r="B53" s="43"/>
      <c r="C53" s="81" t="s">
        <v>296</v>
      </c>
      <c r="D53" s="40"/>
      <c r="E53" s="82" t="s">
        <v>93</v>
      </c>
      <c r="F53" s="61">
        <v>9.80665</v>
      </c>
      <c r="G53" s="35" t="s">
        <v>94</v>
      </c>
      <c r="H53" s="12"/>
      <c r="I53" s="47" t="s">
        <v>297</v>
      </c>
      <c r="J53" s="14"/>
      <c r="K53" s="47"/>
      <c r="L53" s="14"/>
      <c r="M53" s="14"/>
      <c r="N53" s="14"/>
      <c r="O53" s="14"/>
      <c r="P53" s="12"/>
      <c r="Q53" s="12"/>
      <c r="R53" s="12"/>
      <c r="S53" s="49"/>
    </row>
    <row r="54" spans="1:19" ht="15.75">
      <c r="A54" s="29" t="s">
        <v>95</v>
      </c>
      <c r="B54" s="43"/>
      <c r="C54" s="40" t="s">
        <v>298</v>
      </c>
      <c r="D54" s="40"/>
      <c r="E54" s="33" t="s">
        <v>299</v>
      </c>
      <c r="F54" s="83">
        <f>R30</f>
        <v>8.96057270899167E-05</v>
      </c>
      <c r="G54" s="35" t="s">
        <v>300</v>
      </c>
      <c r="H54" s="27"/>
      <c r="I54" s="68" t="s">
        <v>301</v>
      </c>
      <c r="J54" s="23"/>
      <c r="K54" s="23"/>
      <c r="L54" s="23"/>
      <c r="M54" s="23"/>
      <c r="N54" s="23"/>
      <c r="O54" s="23"/>
      <c r="P54" s="23"/>
      <c r="Q54" s="23"/>
      <c r="R54" s="23"/>
      <c r="S54" s="28"/>
    </row>
    <row r="55" spans="1:12" ht="13.5">
      <c r="A55" s="29" t="s">
        <v>96</v>
      </c>
      <c r="B55" s="43"/>
      <c r="C55" s="40" t="s">
        <v>97</v>
      </c>
      <c r="D55" s="40"/>
      <c r="E55" s="33" t="s">
        <v>98</v>
      </c>
      <c r="F55" s="33" t="s">
        <v>302</v>
      </c>
      <c r="G55" s="35" t="s">
        <v>302</v>
      </c>
      <c r="I55" s="14" t="s">
        <v>303</v>
      </c>
      <c r="K55">
        <f>F10</f>
        <v>1.5</v>
      </c>
      <c r="L55" s="47" t="s">
        <v>304</v>
      </c>
    </row>
    <row r="56" spans="1:19" ht="13.5">
      <c r="A56" s="29" t="s">
        <v>99</v>
      </c>
      <c r="B56" s="43"/>
      <c r="C56" s="40" t="s">
        <v>305</v>
      </c>
      <c r="D56" s="40"/>
      <c r="E56" s="33" t="s">
        <v>49</v>
      </c>
      <c r="F56" s="33" t="s">
        <v>192</v>
      </c>
      <c r="G56" s="35" t="s">
        <v>306</v>
      </c>
      <c r="H56" s="48"/>
      <c r="I56" s="42" t="s">
        <v>307</v>
      </c>
      <c r="J56" s="42"/>
      <c r="K56" s="56"/>
      <c r="L56" s="37"/>
      <c r="M56" s="14" t="s">
        <v>308</v>
      </c>
      <c r="N56" s="12"/>
      <c r="O56" s="12"/>
      <c r="P56" s="12"/>
      <c r="Q56" s="12"/>
      <c r="R56" s="14"/>
      <c r="S56" s="49"/>
    </row>
    <row r="57" spans="1:19" ht="13.5">
      <c r="A57" s="29" t="s">
        <v>100</v>
      </c>
      <c r="B57" s="43"/>
      <c r="C57" s="40" t="s">
        <v>309</v>
      </c>
      <c r="D57" s="40"/>
      <c r="E57" s="33" t="s">
        <v>101</v>
      </c>
      <c r="F57" s="33" t="s">
        <v>302</v>
      </c>
      <c r="G57" s="35" t="s">
        <v>302</v>
      </c>
      <c r="H57" s="48"/>
      <c r="I57" s="42" t="s">
        <v>310</v>
      </c>
      <c r="J57" s="42"/>
      <c r="K57" s="56">
        <f>(F11+R30)*F6/(375*K55)</f>
        <v>0.08738988448427974</v>
      </c>
      <c r="L57" s="37" t="s">
        <v>311</v>
      </c>
      <c r="M57" s="14" t="s">
        <v>312</v>
      </c>
      <c r="N57" s="12"/>
      <c r="O57" s="84">
        <f>K60*R20*R21*R23</f>
        <v>372.1187279203304</v>
      </c>
      <c r="P57" s="67" t="s">
        <v>313</v>
      </c>
      <c r="Q57" s="12"/>
      <c r="R57" s="14"/>
      <c r="S57" s="49"/>
    </row>
    <row r="58" spans="1:19" ht="13.5">
      <c r="A58" s="29" t="s">
        <v>102</v>
      </c>
      <c r="B58" s="43"/>
      <c r="C58" s="40" t="s">
        <v>314</v>
      </c>
      <c r="D58" s="40"/>
      <c r="E58" s="33" t="s">
        <v>103</v>
      </c>
      <c r="F58" s="85">
        <f>F6/F12/(F20/F19)</f>
        <v>7.909604519774011</v>
      </c>
      <c r="G58" s="35" t="s">
        <v>315</v>
      </c>
      <c r="H58" s="48"/>
      <c r="M58" s="12"/>
      <c r="N58" s="12"/>
      <c r="O58" s="12"/>
      <c r="P58" s="12"/>
      <c r="Q58" s="12"/>
      <c r="R58" s="14"/>
      <c r="S58" s="49"/>
    </row>
    <row r="59" spans="1:19" ht="13.5">
      <c r="A59" s="29" t="s">
        <v>104</v>
      </c>
      <c r="B59" s="43"/>
      <c r="C59" s="40" t="s">
        <v>105</v>
      </c>
      <c r="D59" s="40"/>
      <c r="E59" s="33" t="s">
        <v>106</v>
      </c>
      <c r="F59" s="85">
        <f>F6/F12/(F20/F19)</f>
        <v>7.909604519774011</v>
      </c>
      <c r="G59" s="35" t="s">
        <v>315</v>
      </c>
      <c r="H59" s="48"/>
      <c r="I59" s="14" t="s">
        <v>316</v>
      </c>
      <c r="J59" s="12"/>
      <c r="K59" s="12"/>
      <c r="L59" s="12"/>
      <c r="M59" s="14" t="s">
        <v>317</v>
      </c>
      <c r="N59" s="12"/>
      <c r="O59" s="12"/>
      <c r="P59" s="12"/>
      <c r="Q59" s="14"/>
      <c r="R59" s="14"/>
      <c r="S59" s="49"/>
    </row>
    <row r="60" spans="1:19" ht="13.5">
      <c r="A60" s="29" t="s">
        <v>107</v>
      </c>
      <c r="B60" s="43"/>
      <c r="C60" s="40" t="s">
        <v>108</v>
      </c>
      <c r="D60" s="40"/>
      <c r="E60" s="33" t="s">
        <v>109</v>
      </c>
      <c r="F60" s="61" t="s">
        <v>318</v>
      </c>
      <c r="G60" s="35" t="s">
        <v>318</v>
      </c>
      <c r="H60" s="48"/>
      <c r="I60" s="14" t="s">
        <v>319</v>
      </c>
      <c r="J60" s="12"/>
      <c r="K60" s="86">
        <f>F15*R19/(K57*60*F53)+F15</f>
        <v>481.7070911590037</v>
      </c>
      <c r="L60" s="47" t="s">
        <v>320</v>
      </c>
      <c r="M60" s="42" t="s">
        <v>321</v>
      </c>
      <c r="N60" s="14"/>
      <c r="O60" s="87">
        <f>F18/O57</f>
        <v>22.035977726322866</v>
      </c>
      <c r="P60" s="67" t="s">
        <v>322</v>
      </c>
      <c r="Q60" s="14"/>
      <c r="R60" s="14"/>
      <c r="S60" s="49"/>
    </row>
    <row r="61" spans="1:19" ht="13.5">
      <c r="A61" s="29" t="s">
        <v>110</v>
      </c>
      <c r="B61" s="43"/>
      <c r="C61" s="40" t="s">
        <v>111</v>
      </c>
      <c r="D61" s="40"/>
      <c r="E61" s="33" t="s">
        <v>323</v>
      </c>
      <c r="F61" s="61" t="s">
        <v>318</v>
      </c>
      <c r="G61" s="35" t="s">
        <v>318</v>
      </c>
      <c r="H61" s="48"/>
      <c r="I61" s="12"/>
      <c r="J61" s="12"/>
      <c r="K61" s="12"/>
      <c r="L61" s="14" t="s">
        <v>324</v>
      </c>
      <c r="M61" s="12"/>
      <c r="N61" s="12"/>
      <c r="O61" s="12"/>
      <c r="P61" s="12"/>
      <c r="Q61" s="14"/>
      <c r="R61" s="14"/>
      <c r="S61" s="49"/>
    </row>
    <row r="62" spans="1:19" ht="13.5">
      <c r="A62" s="29" t="s">
        <v>112</v>
      </c>
      <c r="B62" s="43"/>
      <c r="C62" s="40" t="s">
        <v>113</v>
      </c>
      <c r="D62" s="40"/>
      <c r="E62" s="33" t="s">
        <v>114</v>
      </c>
      <c r="F62" s="61" t="s">
        <v>216</v>
      </c>
      <c r="G62" s="35" t="s">
        <v>27</v>
      </c>
      <c r="H62" s="48"/>
      <c r="I62" s="67" t="s">
        <v>287</v>
      </c>
      <c r="J62" s="12"/>
      <c r="K62" s="12"/>
      <c r="L62" s="12"/>
      <c r="M62" s="14"/>
      <c r="N62" s="14"/>
      <c r="O62" s="14"/>
      <c r="P62" s="14"/>
      <c r="Q62" s="14"/>
      <c r="R62" s="14"/>
      <c r="S62" s="49"/>
    </row>
    <row r="63" spans="1:19" ht="13.5">
      <c r="A63" s="29" t="s">
        <v>115</v>
      </c>
      <c r="B63" s="43"/>
      <c r="C63" s="40" t="s">
        <v>116</v>
      </c>
      <c r="D63" s="40"/>
      <c r="E63" s="33" t="s">
        <v>117</v>
      </c>
      <c r="F63" s="61" t="s">
        <v>279</v>
      </c>
      <c r="G63" s="35" t="s">
        <v>27</v>
      </c>
      <c r="H63" s="48"/>
      <c r="I63" s="14" t="s">
        <v>325</v>
      </c>
      <c r="J63" s="88">
        <f>O57</f>
        <v>372.1187279203304</v>
      </c>
      <c r="K63" s="12" t="str">
        <f>P57</f>
        <v>kgf･･･④</v>
      </c>
      <c r="L63" s="12" t="str">
        <f>L51</f>
        <v>の値 は選定チェーン</v>
      </c>
      <c r="M63" s="14" t="str">
        <f>M51</f>
        <v> RS60-2</v>
      </c>
      <c r="N63" s="14" t="str">
        <f>N51</f>
        <v>最大許容張力</v>
      </c>
      <c r="O63" s="38">
        <f>O51</f>
        <v>1530</v>
      </c>
      <c r="P63" s="38" t="str">
        <f>P51</f>
        <v>kgfより</v>
      </c>
      <c r="Q63" s="42" t="str">
        <f>IF(O63&gt;J63,Q51,IF(I64&gt;0.05,"大きい値","大きい値ではあるが"))</f>
        <v>小さいので使用可能。</v>
      </c>
      <c r="R63" s="14"/>
      <c r="S63" s="49"/>
    </row>
    <row r="64" spans="1:19" ht="13.5">
      <c r="A64" s="29" t="s">
        <v>118</v>
      </c>
      <c r="B64" s="43"/>
      <c r="C64" s="40" t="s">
        <v>119</v>
      </c>
      <c r="D64" s="40"/>
      <c r="E64" s="33" t="s">
        <v>326</v>
      </c>
      <c r="F64" s="89">
        <f>K39</f>
        <v>1</v>
      </c>
      <c r="G64" s="35" t="s">
        <v>120</v>
      </c>
      <c r="H64" s="48"/>
      <c r="I64" s="90">
        <f>IF(J63&gt;O63,J63/O63-1,"")</f>
      </c>
      <c r="J64" s="14">
        <f>IF(J63&lt;O63,"",IF(I64&gt;0.05,"オーバー値の為、寿命に重大な影響を及ぼす可能性が有るのでチェーンサイズ変更が必要。","のオーバー値であり非常停止頻度も少ないと思われる為、寿命に重大な影響を及ぼすとは思われません。"))</f>
      </c>
      <c r="K64" s="14"/>
      <c r="L64" s="14"/>
      <c r="M64" s="14"/>
      <c r="N64" s="14"/>
      <c r="O64" s="14"/>
      <c r="P64" s="14"/>
      <c r="Q64" s="14"/>
      <c r="R64" s="14"/>
      <c r="S64" s="49"/>
    </row>
    <row r="65" spans="1:19" ht="13.5">
      <c r="A65" s="29" t="s">
        <v>121</v>
      </c>
      <c r="B65" s="43"/>
      <c r="C65" s="40" t="s">
        <v>122</v>
      </c>
      <c r="D65" s="40"/>
      <c r="E65" s="33" t="s">
        <v>327</v>
      </c>
      <c r="F65" s="89">
        <f>K34</f>
        <v>1</v>
      </c>
      <c r="G65" s="35" t="s">
        <v>120</v>
      </c>
      <c r="H65" s="48"/>
      <c r="J65" s="14" t="s">
        <v>328</v>
      </c>
      <c r="K65" s="14"/>
      <c r="L65" s="14"/>
      <c r="M65" s="66">
        <f>O60</f>
        <v>22.035977726322866</v>
      </c>
      <c r="N65" s="14" t="str">
        <f>P60</f>
        <v>････⑤</v>
      </c>
      <c r="O65" s="14" t="str">
        <f>IF(M65&gt;2,"なので非常停止時の破断は起こりません。","なので非常停止時の破断発生　絶対使用不可 !!")</f>
        <v>なので非常停止時の破断は起こりません。</v>
      </c>
      <c r="P65" s="14"/>
      <c r="Q65" s="14"/>
      <c r="R65" s="14"/>
      <c r="S65" s="49"/>
    </row>
    <row r="66" spans="1:19" ht="13.5">
      <c r="A66" s="29" t="s">
        <v>123</v>
      </c>
      <c r="B66" s="43"/>
      <c r="C66" s="40" t="s">
        <v>329</v>
      </c>
      <c r="D66" s="40"/>
      <c r="E66" s="33" t="s">
        <v>330</v>
      </c>
      <c r="F66" s="89">
        <f>K57</f>
        <v>0.08738988448427974</v>
      </c>
      <c r="G66" s="35" t="s">
        <v>120</v>
      </c>
      <c r="H66" s="48"/>
      <c r="R66" s="14"/>
      <c r="S66" s="49"/>
    </row>
    <row r="67" spans="1:19" ht="14.25" thickBot="1">
      <c r="A67" s="91" t="s">
        <v>124</v>
      </c>
      <c r="B67" s="92"/>
      <c r="C67" s="93" t="s">
        <v>125</v>
      </c>
      <c r="D67" s="93"/>
      <c r="E67" s="94" t="s">
        <v>331</v>
      </c>
      <c r="F67" s="95">
        <f>O60</f>
        <v>22.035977726322866</v>
      </c>
      <c r="G67" s="96" t="s">
        <v>126</v>
      </c>
      <c r="H67" s="97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9"/>
    </row>
    <row r="72" spans="1:8" ht="13.5">
      <c r="A72" s="102"/>
      <c r="B72" s="102"/>
      <c r="C72" s="103"/>
      <c r="D72" s="103"/>
      <c r="E72" s="104"/>
      <c r="F72" s="105"/>
      <c r="G72" s="102"/>
      <c r="H72" s="104"/>
    </row>
    <row r="73" spans="1:8" ht="13.5">
      <c r="A73" s="102"/>
      <c r="B73" s="102"/>
      <c r="C73" s="103"/>
      <c r="D73" s="103"/>
      <c r="E73" s="104"/>
      <c r="F73" s="105"/>
      <c r="G73" s="102"/>
      <c r="H73" s="104"/>
    </row>
    <row r="74" spans="1:8" ht="13.5">
      <c r="A74" s="104"/>
      <c r="B74" s="104"/>
      <c r="C74" s="103"/>
      <c r="D74" s="104"/>
      <c r="E74" s="104"/>
      <c r="F74" s="102"/>
      <c r="G74" s="102"/>
      <c r="H74" s="104"/>
    </row>
    <row r="75" spans="1:8" ht="13.5">
      <c r="A75" s="104"/>
      <c r="B75" s="104"/>
      <c r="C75" s="103"/>
      <c r="D75" s="104"/>
      <c r="E75" s="104"/>
      <c r="F75" s="102"/>
      <c r="G75" s="102"/>
      <c r="H75" s="104"/>
    </row>
    <row r="76" spans="1:8" ht="13.5">
      <c r="A76" s="104"/>
      <c r="B76" s="104"/>
      <c r="C76" s="103"/>
      <c r="D76" s="104"/>
      <c r="E76" s="104"/>
      <c r="F76" s="102"/>
      <c r="G76" s="102"/>
      <c r="H76" s="104"/>
    </row>
    <row r="77" spans="1:8" ht="13.5">
      <c r="A77" s="104"/>
      <c r="B77" s="104"/>
      <c r="C77" s="103"/>
      <c r="D77" s="104"/>
      <c r="E77" s="104"/>
      <c r="F77" s="102"/>
      <c r="G77" s="102"/>
      <c r="H77" s="104"/>
    </row>
  </sheetData>
  <mergeCells count="1">
    <mergeCell ref="R2:S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dcterms:created xsi:type="dcterms:W3CDTF">2012-02-19T23:25:34Z</dcterms:created>
  <dcterms:modified xsi:type="dcterms:W3CDTF">2012-02-19T23:29:07Z</dcterms:modified>
  <cp:category/>
  <cp:version/>
  <cp:contentType/>
  <cp:contentStatus/>
</cp:coreProperties>
</file>